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fs1.kobe.local\sec\208_個人情報保護フォルダ（税務統計・マイナンバー・広聴等）\01_税務統計\03.税務統計書\R6年度\02_各課回答\"/>
    </mc:Choice>
  </mc:AlternateContent>
  <bookViews>
    <workbookView xWindow="0" yWindow="0" windowWidth="9580" windowHeight="4900" tabRatio="906"/>
  </bookViews>
  <sheets>
    <sheet name="目次" sheetId="1" r:id="rId1"/>
    <sheet name="1(1)個人市民税（納税義務者の推移）" sheetId="2" r:id="rId2"/>
    <sheet name="1(2)個人市民税（調定額の推移）" sheetId="3" r:id="rId3"/>
    <sheet name="1(3)個人市民税（課税標準額段階別納税義務者数の推移）" sheetId="4" r:id="rId4"/>
    <sheet name="1(4)個人市民税（課税標準額段階別総所得金額・所得控除額）" sheetId="5" r:id="rId5"/>
    <sheet name="1(5)個人市民税（課税標準額段階別課税標準額・算出税額等）" sheetId="6" r:id="rId6"/>
    <sheet name="2(1)法人市民税（均等割納税義務者の推移）" sheetId="7" r:id="rId7"/>
    <sheet name="2(2)法人市民税（法人税割業種別決算調定額の推移）" sheetId="8" r:id="rId8"/>
    <sheet name="3(1)固定資産税（納税義務者の推移）" sheetId="9" r:id="rId9"/>
    <sheet name="3(2)固定資産税（地目別地積の推移（土地））" sheetId="10" r:id="rId10"/>
    <sheet name="3(3)固定資産税（地目別筆数の推移（土地））" sheetId="11" r:id="rId11"/>
    <sheet name="3(4)固定資産税（地目別決定価格の推移（土地））" sheetId="12" r:id="rId12"/>
    <sheet name="3(5)固定資産税（地目別課税標準額の推移（土地））" sheetId="13" r:id="rId13"/>
    <sheet name="3(6)固定資産税（棟数・床面積・決定価格・課税標準額の推移）" sheetId="14" r:id="rId14"/>
    <sheet name="3(7)固定資産税（決定価格の推移（償却資産））" sheetId="15" r:id="rId15"/>
    <sheet name="3(8)固定資産税（課税標準額の推移（償却資産））" sheetId="16" r:id="rId16"/>
    <sheet name="3(9)固定資産税（国有資産等所在市町村交付金の推移）" sheetId="17" r:id="rId17"/>
    <sheet name="4(1)軽自動車税（登録台数の推移（賦課期日現在））" sheetId="18" r:id="rId18"/>
    <sheet name="4(2)軽自動車税（課税台数の推移（賦課期日現在））" sheetId="19" r:id="rId19"/>
    <sheet name="4(3)軽自動車税（免除・非課税台数の推移（賦課期日現在））" sheetId="20" r:id="rId20"/>
    <sheet name="4(4)軽自動車税（車種別調定額の推移（賦課期日現在））" sheetId="21" r:id="rId21"/>
    <sheet name="5(1)市たばこ税調定額等の推移" sheetId="22" r:id="rId22"/>
    <sheet name="5(2)入湯税に関する調" sheetId="23" r:id="rId23"/>
    <sheet name="5(3)事業所税に関する調" sheetId="24" r:id="rId24"/>
    <sheet name="5(4)都市計画税に関する調" sheetId="25" r:id="rId25"/>
    <sheet name="6(1)個人市民税減免額の推移" sheetId="26" r:id="rId26"/>
    <sheet name="6(2)固定資産税・都市計画税減免額の推移" sheetId="27" r:id="rId27"/>
    <sheet name="6(3)震災に伴う市税軽減額の推移" sheetId="28" r:id="rId28"/>
    <sheet name="6(4)阪神・淡路大震災に関する税制措置大要（ア）" sheetId="29" r:id="rId29"/>
    <sheet name="6(4)阪神・淡路大震災に関する税制措置大要（イ）" sheetId="30" r:id="rId30"/>
    <sheet name="6(4)阪神・淡路大震災に関する税制措置大要（ウ）" sheetId="31" r:id="rId31"/>
    <sheet name="(付表)阪神・淡路大震災に係る税制措置に関する主な地域指定等" sheetId="32" r:id="rId32"/>
  </sheets>
  <externalReferences>
    <externalReference r:id="rId33"/>
    <externalReference r:id="rId34"/>
  </externalReferences>
  <definedNames>
    <definedName name="_xlnm.Print_Area" localSheetId="6">'2(1)法人市民税（均等割納税義務者の推移）'!$A$1:$N$58</definedName>
    <definedName name="Z_501209ED_4B79_4E52_B95E_748E5E77E24F_.wvu.PrintArea" localSheetId="6" hidden="1">'2(1)法人市民税（均等割納税義務者の推移）'!$A$1:$N$58</definedName>
    <definedName name="Z_501209ED_4B79_4E52_B95E_748E5E77E24F_.wvu.Rows" localSheetId="1" hidden="1">'1(1)個人市民税（納税義務者の推移）'!$27:$36,'1(1)個人市民税（納税義務者の推移）'!$39:$48</definedName>
    <definedName name="Z_501209ED_4B79_4E52_B95E_748E5E77E24F_.wvu.Rows" localSheetId="2" hidden="1">'1(2)個人市民税（調定額の推移）'!$40:$49</definedName>
    <definedName name="Z_501209ED_4B79_4E52_B95E_748E5E77E24F_.wvu.Rows" localSheetId="3" hidden="1">'1(3)個人市民税（課税標準額段階別納税義務者数の推移）'!$22:$30,'1(3)個人市民税（課税標準額段階別納税義務者数の推移）'!$33:$41</definedName>
    <definedName name="Z_501209ED_4B79_4E52_B95E_748E5E77E24F_.wvu.Rows" localSheetId="4" hidden="1">'1(4)個人市民税（課税標準額段階別総所得金額・所得控除額）'!$23:$31,'1(4)個人市民税（課税標準額段階別総所得金額・所得控除額）'!$34:$42</definedName>
    <definedName name="Z_501209ED_4B79_4E52_B95E_748E5E77E24F_.wvu.Rows" localSheetId="5" hidden="1">'1(5)個人市民税（課税標準額段階別課税標準額・算出税額等）'!$23:$31,'1(5)個人市民税（課税標準額段階別課税標準額・算出税額等）'!$34:$42</definedName>
    <definedName name="Z_501209ED_4B79_4E52_B95E_748E5E77E24F_.wvu.Rows" localSheetId="7" hidden="1">'2(2)法人市民税（法人税割業種別決算調定額の推移）'!$58:$66,'2(2)法人市民税（法人税割業種別決算調定額の推移）'!$69:$77</definedName>
    <definedName name="Z_501209ED_4B79_4E52_B95E_748E5E77E24F_.wvu.Rows" localSheetId="9" hidden="1">'3(2)固定資産税（地目別地積の推移（土地））'!$25:$33,'3(2)固定資産税（地目別地積の推移（土地））'!$36:$44,'3(2)固定資産税（地目別地積の推移（土地））'!$47:$55,'3(2)固定資産税（地目別地積の推移（土地））'!$58:$66,'3(2)固定資産税（地目別地積の推移（土地））'!$69:$77</definedName>
    <definedName name="Z_501209ED_4B79_4E52_B95E_748E5E77E24F_.wvu.Rows" localSheetId="10" hidden="1">'3(3)固定資産税（地目別筆数の推移（土地））'!$25:$33,'3(3)固定資産税（地目別筆数の推移（土地））'!$36:$44,'3(3)固定資産税（地目別筆数の推移（土地））'!$47:$55,'3(3)固定資産税（地目別筆数の推移（土地））'!$58:$66,'3(3)固定資産税（地目別筆数の推移（土地））'!$69:$77</definedName>
    <definedName name="Z_501209ED_4B79_4E52_B95E_748E5E77E24F_.wvu.Rows" localSheetId="11" hidden="1">'3(4)固定資産税（地目別決定価格の推移（土地））'!$25:$33,'3(4)固定資産税（地目別決定価格の推移（土地））'!$36:$44,'3(4)固定資産税（地目別決定価格の推移（土地））'!$47:$55,'3(4)固定資産税（地目別決定価格の推移（土地））'!$58:$66,'3(4)固定資産税（地目別決定価格の推移（土地））'!$69:$77</definedName>
    <definedName name="Z_501209ED_4B79_4E52_B95E_748E5E77E24F_.wvu.Rows" localSheetId="12" hidden="1">'3(5)固定資産税（地目別課税標準額の推移（土地））'!$25:$33,'3(5)固定資産税（地目別課税標準額の推移（土地））'!$36:$44,'3(5)固定資産税（地目別課税標準額の推移（土地））'!$47:$55,'3(5)固定資産税（地目別課税標準額の推移（土地））'!$58:$66,'3(5)固定資産税（地目別課税標準額の推移（土地））'!$69:$77</definedName>
    <definedName name="Z_501209ED_4B79_4E52_B95E_748E5E77E24F_.wvu.Rows" localSheetId="13" hidden="1">'3(6)固定資産税（棟数・床面積・決定価格・課税標準額の推移）'!$25:$33,'3(6)固定資産税（棟数・床面積・決定価格・課税標準額の推移）'!$36:$44,'3(6)固定資産税（棟数・床面積・決定価格・課税標準額の推移）'!$47:$55,'3(6)固定資産税（棟数・床面積・決定価格・課税標準額の推移）'!$58:$66,'3(6)固定資産税（棟数・床面積・決定価格・課税標準額の推移）'!$69:$77</definedName>
    <definedName name="Z_501209ED_4B79_4E52_B95E_748E5E77E24F_.wvu.Rows" localSheetId="14" hidden="1">'3(7)固定資産税（決定価格の推移（償却資産））'!$25:$33,'3(7)固定資産税（決定価格の推移（償却資産））'!$36:$44,'3(7)固定資産税（決定価格の推移（償却資産））'!$47:$55</definedName>
    <definedName name="Z_501209ED_4B79_4E52_B95E_748E5E77E24F_.wvu.Rows" localSheetId="15" hidden="1">'3(8)固定資産税（課税標準額の推移（償却資産））'!$25:$33,'3(8)固定資産税（課税標準額の推移（償却資産））'!$36:$44,'3(8)固定資産税（課税標準額の推移（償却資産））'!$47:$55,'3(8)固定資産税（課税標準額の推移（償却資産））'!$58:$66,'3(8)固定資産税（課税標準額の推移（償却資産））'!$69:$77</definedName>
  </definedNames>
  <calcPr calcId="162913"/>
  <customWorkbookViews>
    <customWorkbookView name="Windows ユーザー - 個人用ビュー" guid="{501209ED-4B79-4E52-B95E-748E5E77E24F}" mergeInterval="0" personalView="1" maximized="1" xWindow="-11" yWindow="-11" windowWidth="1942" windowHeight="1042" tabRatio="906"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22" l="1"/>
  <c r="Q35" i="22"/>
  <c r="N35" i="22"/>
  <c r="K35" i="22"/>
  <c r="H35" i="22"/>
  <c r="E35" i="22"/>
  <c r="N9" i="22"/>
  <c r="K9" i="22"/>
  <c r="H9" i="22"/>
  <c r="L22" i="16" l="1"/>
  <c r="I22" i="16"/>
  <c r="L21" i="16"/>
  <c r="I21" i="16"/>
  <c r="L20" i="16"/>
  <c r="I20" i="16"/>
  <c r="L19" i="16"/>
  <c r="I19" i="16"/>
  <c r="L18" i="16"/>
  <c r="I18" i="16"/>
  <c r="L17" i="16"/>
  <c r="I17" i="16"/>
  <c r="L16" i="16"/>
  <c r="I16" i="16"/>
  <c r="L15" i="16"/>
  <c r="I15" i="16"/>
  <c r="L14" i="16"/>
  <c r="I14" i="16"/>
  <c r="K12" i="16"/>
  <c r="J12" i="16"/>
  <c r="H12" i="16"/>
  <c r="G12" i="16"/>
  <c r="F12" i="16"/>
  <c r="E12" i="16"/>
  <c r="D12" i="16"/>
  <c r="C12" i="16"/>
  <c r="L22" i="15"/>
  <c r="I22" i="15"/>
  <c r="L21" i="15"/>
  <c r="I21" i="15"/>
  <c r="L20" i="15"/>
  <c r="I20" i="15"/>
  <c r="L19" i="15"/>
  <c r="I19" i="15"/>
  <c r="L18" i="15"/>
  <c r="I18" i="15"/>
  <c r="L17" i="15"/>
  <c r="I17" i="15"/>
  <c r="L16" i="15"/>
  <c r="I16" i="15"/>
  <c r="L15" i="15"/>
  <c r="I15" i="15"/>
  <c r="L14" i="15"/>
  <c r="I14" i="15"/>
  <c r="K12" i="15"/>
  <c r="J12" i="15"/>
  <c r="L12" i="15" s="1"/>
  <c r="H12" i="15"/>
  <c r="G12" i="15"/>
  <c r="F12" i="15"/>
  <c r="E12" i="15"/>
  <c r="D12" i="15"/>
  <c r="C12" i="15"/>
  <c r="M22" i="14"/>
  <c r="L22" i="14"/>
  <c r="M21" i="14"/>
  <c r="L21" i="14"/>
  <c r="M20" i="14"/>
  <c r="L20" i="14"/>
  <c r="M19" i="14"/>
  <c r="L19" i="14"/>
  <c r="M18" i="14"/>
  <c r="L18" i="14"/>
  <c r="M17" i="14"/>
  <c r="L17" i="14"/>
  <c r="M16" i="14"/>
  <c r="L16" i="14"/>
  <c r="M15" i="14"/>
  <c r="L15" i="14"/>
  <c r="M14" i="14"/>
  <c r="L14" i="14"/>
  <c r="M12" i="14"/>
  <c r="L12" i="14"/>
  <c r="J22" i="14"/>
  <c r="I22" i="14"/>
  <c r="J21" i="14"/>
  <c r="I21" i="14"/>
  <c r="J20" i="14"/>
  <c r="I20" i="14"/>
  <c r="J19" i="14"/>
  <c r="I19" i="14"/>
  <c r="J18" i="14"/>
  <c r="I18" i="14"/>
  <c r="J17" i="14"/>
  <c r="I17" i="14"/>
  <c r="J16" i="14"/>
  <c r="I16" i="14"/>
  <c r="J15" i="14"/>
  <c r="I15" i="14"/>
  <c r="J14" i="14"/>
  <c r="I14" i="14"/>
  <c r="J12" i="14"/>
  <c r="I12" i="14"/>
  <c r="G22" i="14"/>
  <c r="F22" i="14"/>
  <c r="G21" i="14"/>
  <c r="F21" i="14"/>
  <c r="G20" i="14"/>
  <c r="F20" i="14"/>
  <c r="G19" i="14"/>
  <c r="F19" i="14"/>
  <c r="G18" i="14"/>
  <c r="F18" i="14"/>
  <c r="G17" i="14"/>
  <c r="F17" i="14"/>
  <c r="G16" i="14"/>
  <c r="F16" i="14"/>
  <c r="G15" i="14"/>
  <c r="F15" i="14"/>
  <c r="G14" i="14"/>
  <c r="F14" i="14"/>
  <c r="G12" i="14"/>
  <c r="F12" i="14"/>
  <c r="D12" i="14"/>
  <c r="C12" i="14"/>
  <c r="L12" i="16" l="1"/>
  <c r="I12" i="15"/>
  <c r="I12" i="16"/>
  <c r="F26" i="3"/>
  <c r="G26" i="3"/>
  <c r="H26" i="3"/>
  <c r="V16" i="2" l="1"/>
  <c r="V17" i="2"/>
  <c r="V18" i="2"/>
  <c r="V19" i="2"/>
  <c r="V20" i="2"/>
  <c r="V21" i="2"/>
  <c r="V22" i="2"/>
  <c r="V23" i="2"/>
  <c r="V24" i="2"/>
  <c r="V15" i="2"/>
  <c r="V28" i="2"/>
  <c r="V29" i="2"/>
  <c r="V30" i="2"/>
  <c r="V31" i="2"/>
  <c r="V32" i="2"/>
  <c r="V33" i="2"/>
  <c r="V34" i="2"/>
  <c r="V35" i="2"/>
  <c r="V36" i="2"/>
  <c r="V27" i="2"/>
  <c r="V48" i="2"/>
  <c r="V40" i="2"/>
  <c r="V41" i="2"/>
  <c r="V42" i="2"/>
  <c r="V43" i="2"/>
  <c r="V44" i="2"/>
  <c r="V45" i="2"/>
  <c r="V46" i="2"/>
  <c r="V47" i="2"/>
  <c r="V39" i="2"/>
  <c r="C37" i="27" l="1"/>
  <c r="C36" i="27"/>
  <c r="C18" i="26"/>
  <c r="C17" i="26"/>
  <c r="C16" i="25"/>
  <c r="D16" i="24"/>
  <c r="F16" i="24"/>
  <c r="H20" i="24"/>
  <c r="H19" i="24"/>
  <c r="H18" i="24"/>
  <c r="H17" i="24"/>
  <c r="H10" i="24"/>
  <c r="C13" i="23"/>
  <c r="E31" i="22"/>
  <c r="E33" i="22" s="1"/>
  <c r="E34" i="22" s="1"/>
  <c r="C31" i="22"/>
  <c r="C33" i="22" s="1"/>
  <c r="F84" i="21"/>
  <c r="F80" i="21"/>
  <c r="F18" i="21"/>
  <c r="G83" i="20"/>
  <c r="F83" i="20"/>
  <c r="G79" i="20"/>
  <c r="F79" i="20"/>
  <c r="G17" i="20"/>
  <c r="G85" i="20" s="1"/>
  <c r="F17" i="20"/>
  <c r="F82" i="19"/>
  <c r="F78" i="19"/>
  <c r="F16" i="19"/>
  <c r="F16" i="18"/>
  <c r="F82" i="18"/>
  <c r="F78" i="18"/>
  <c r="E10" i="17"/>
  <c r="K22" i="14"/>
  <c r="H22" i="14"/>
  <c r="E22" i="14"/>
  <c r="K21" i="14"/>
  <c r="H21" i="14"/>
  <c r="E21" i="14"/>
  <c r="K20" i="14"/>
  <c r="H20" i="14"/>
  <c r="E20" i="14"/>
  <c r="K19" i="14"/>
  <c r="H19" i="14"/>
  <c r="E19" i="14"/>
  <c r="K18" i="14"/>
  <c r="H18" i="14"/>
  <c r="E18" i="14"/>
  <c r="K17" i="14"/>
  <c r="H17" i="14"/>
  <c r="E17" i="14"/>
  <c r="K16" i="14"/>
  <c r="H16" i="14"/>
  <c r="E16" i="14"/>
  <c r="K15" i="14"/>
  <c r="H15" i="14"/>
  <c r="E15" i="14"/>
  <c r="K14" i="14"/>
  <c r="H14" i="14"/>
  <c r="E14" i="14"/>
  <c r="N22" i="13"/>
  <c r="O22" i="13" s="1"/>
  <c r="N21" i="13"/>
  <c r="O21" i="13" s="1"/>
  <c r="N20" i="13"/>
  <c r="O20" i="13" s="1"/>
  <c r="N19" i="13"/>
  <c r="O19" i="13" s="1"/>
  <c r="N18" i="13"/>
  <c r="O18" i="13" s="1"/>
  <c r="N17" i="13"/>
  <c r="O17" i="13" s="1"/>
  <c r="N16" i="13"/>
  <c r="O16" i="13" s="1"/>
  <c r="H12" i="13"/>
  <c r="N15" i="13"/>
  <c r="O15" i="13" s="1"/>
  <c r="L12" i="13"/>
  <c r="M12" i="13"/>
  <c r="K12" i="13"/>
  <c r="J12" i="13"/>
  <c r="I12" i="13"/>
  <c r="G12" i="13"/>
  <c r="F12" i="13"/>
  <c r="E12" i="13"/>
  <c r="N22" i="12"/>
  <c r="N21" i="12"/>
  <c r="O21" i="12" s="1"/>
  <c r="N20" i="12"/>
  <c r="O20" i="12" s="1"/>
  <c r="M12" i="12"/>
  <c r="E12" i="12"/>
  <c r="N18" i="12"/>
  <c r="O18" i="12" s="1"/>
  <c r="N17" i="12"/>
  <c r="O17" i="12" s="1"/>
  <c r="N16" i="12"/>
  <c r="O16" i="12" s="1"/>
  <c r="H12" i="12"/>
  <c r="N14" i="12"/>
  <c r="O14" i="12" s="1"/>
  <c r="L12" i="12"/>
  <c r="K12" i="12"/>
  <c r="J12" i="12"/>
  <c r="I12" i="12"/>
  <c r="G12" i="12"/>
  <c r="F12" i="12"/>
  <c r="C12" i="12"/>
  <c r="N22" i="11"/>
  <c r="O22" i="11" s="1"/>
  <c r="N21" i="11"/>
  <c r="O21" i="11" s="1"/>
  <c r="N20" i="11"/>
  <c r="O20" i="11" s="1"/>
  <c r="N19" i="11"/>
  <c r="O19" i="11" s="1"/>
  <c r="N18" i="11"/>
  <c r="O18" i="11" s="1"/>
  <c r="N17" i="11"/>
  <c r="O17" i="11" s="1"/>
  <c r="N16" i="11"/>
  <c r="O16" i="11" s="1"/>
  <c r="L12" i="11"/>
  <c r="H12" i="11"/>
  <c r="N14" i="11"/>
  <c r="O14" i="11" s="1"/>
  <c r="M12" i="11"/>
  <c r="K12" i="11"/>
  <c r="J12" i="11"/>
  <c r="I12" i="11"/>
  <c r="G12" i="11"/>
  <c r="F12" i="11"/>
  <c r="E12" i="11"/>
  <c r="D12" i="11"/>
  <c r="C12" i="11"/>
  <c r="F12" i="10"/>
  <c r="N22" i="10"/>
  <c r="O22" i="10" s="1"/>
  <c r="N21" i="10"/>
  <c r="O21" i="10" s="1"/>
  <c r="E12" i="10"/>
  <c r="N20" i="10"/>
  <c r="O20" i="10" s="1"/>
  <c r="N19" i="10"/>
  <c r="O19" i="10" s="1"/>
  <c r="M12" i="10"/>
  <c r="N17" i="10"/>
  <c r="O17" i="10" s="1"/>
  <c r="N16" i="10"/>
  <c r="O16" i="10" s="1"/>
  <c r="N15" i="10"/>
  <c r="O15" i="10" s="1"/>
  <c r="L12" i="10"/>
  <c r="H12" i="10"/>
  <c r="K12" i="10"/>
  <c r="J12" i="10"/>
  <c r="I12" i="10"/>
  <c r="G12" i="10"/>
  <c r="C12" i="10"/>
  <c r="J12" i="9"/>
  <c r="M12" i="9" s="1"/>
  <c r="G12" i="9"/>
  <c r="D12" i="9"/>
  <c r="K12" i="9" s="1"/>
  <c r="C12" i="8"/>
  <c r="C28" i="8" s="1"/>
  <c r="M16" i="7"/>
  <c r="L16" i="7"/>
  <c r="K16" i="7"/>
  <c r="J16" i="7"/>
  <c r="H16" i="7"/>
  <c r="G16" i="7"/>
  <c r="F16" i="7"/>
  <c r="E16" i="7"/>
  <c r="D16" i="7"/>
  <c r="C16" i="7"/>
  <c r="N15" i="7"/>
  <c r="I15" i="7"/>
  <c r="N14" i="7"/>
  <c r="I14" i="7"/>
  <c r="N13" i="7"/>
  <c r="I13" i="7"/>
  <c r="N12" i="7"/>
  <c r="I12" i="7"/>
  <c r="N11" i="7"/>
  <c r="I11" i="7"/>
  <c r="AF20" i="6"/>
  <c r="Y20" i="6"/>
  <c r="S20" i="6"/>
  <c r="F20" i="6"/>
  <c r="AG20" i="6" s="1"/>
  <c r="AF19" i="6"/>
  <c r="Y19" i="6"/>
  <c r="S19" i="6"/>
  <c r="F19" i="6"/>
  <c r="L19" i="6" s="1"/>
  <c r="AF18" i="6"/>
  <c r="Y18" i="6"/>
  <c r="S18" i="6"/>
  <c r="F18" i="6"/>
  <c r="L18" i="6" s="1"/>
  <c r="AF17" i="6"/>
  <c r="Y17" i="6"/>
  <c r="S17" i="6"/>
  <c r="F17" i="6"/>
  <c r="AG17" i="6" s="1"/>
  <c r="AF16" i="6"/>
  <c r="Y16" i="6"/>
  <c r="S16" i="6"/>
  <c r="F16" i="6"/>
  <c r="AG16" i="6" s="1"/>
  <c r="AF15" i="6"/>
  <c r="Y15" i="6"/>
  <c r="S15" i="6"/>
  <c r="F15" i="6"/>
  <c r="AG15" i="6" s="1"/>
  <c r="AF14" i="6"/>
  <c r="Y14" i="6"/>
  <c r="S14" i="6"/>
  <c r="F14" i="6"/>
  <c r="L14" i="6" s="1"/>
  <c r="AF13" i="6"/>
  <c r="Y13" i="6"/>
  <c r="S13" i="6"/>
  <c r="F13" i="6"/>
  <c r="AG13" i="6" s="1"/>
  <c r="AF12" i="6"/>
  <c r="Y12" i="6"/>
  <c r="S12" i="6"/>
  <c r="F12" i="6"/>
  <c r="AG12" i="6" s="1"/>
  <c r="AE10" i="6"/>
  <c r="AD10" i="6"/>
  <c r="AC10" i="6"/>
  <c r="AB10" i="6"/>
  <c r="AA10" i="6"/>
  <c r="Z10" i="6"/>
  <c r="X10" i="6"/>
  <c r="W10" i="6"/>
  <c r="V10" i="6"/>
  <c r="U10" i="6"/>
  <c r="T10" i="6"/>
  <c r="R10" i="6"/>
  <c r="Q10" i="6"/>
  <c r="P10" i="6"/>
  <c r="O10" i="6"/>
  <c r="N10" i="6"/>
  <c r="M10" i="6"/>
  <c r="K10" i="6"/>
  <c r="J10" i="6"/>
  <c r="I10" i="6"/>
  <c r="H10" i="6"/>
  <c r="G10" i="6"/>
  <c r="E10" i="6"/>
  <c r="D10" i="6"/>
  <c r="C10" i="6"/>
  <c r="AE20" i="5"/>
  <c r="M20" i="5"/>
  <c r="AE19" i="5"/>
  <c r="M19" i="5"/>
  <c r="AE18" i="5"/>
  <c r="M18" i="5"/>
  <c r="AE17" i="5"/>
  <c r="M17" i="5"/>
  <c r="AE16" i="5"/>
  <c r="M16" i="5"/>
  <c r="AE15" i="5"/>
  <c r="M15" i="5"/>
  <c r="AE14" i="5"/>
  <c r="M14" i="5"/>
  <c r="AE13" i="5"/>
  <c r="M13" i="5"/>
  <c r="AE12" i="5"/>
  <c r="M12" i="5"/>
  <c r="AD10" i="5"/>
  <c r="AC10" i="5"/>
  <c r="AB10" i="5"/>
  <c r="AA10" i="5"/>
  <c r="Z10" i="5"/>
  <c r="Y10" i="5"/>
  <c r="X10" i="5"/>
  <c r="V10" i="5"/>
  <c r="U10" i="5"/>
  <c r="S10" i="5"/>
  <c r="R10" i="5"/>
  <c r="Q10" i="5"/>
  <c r="P10" i="5"/>
  <c r="O10" i="5"/>
  <c r="N10" i="5"/>
  <c r="L10" i="5"/>
  <c r="K10" i="5"/>
  <c r="J10" i="5"/>
  <c r="I10" i="5"/>
  <c r="H10" i="5"/>
  <c r="G10" i="5"/>
  <c r="E10" i="5"/>
  <c r="D10" i="5"/>
  <c r="C10" i="5"/>
  <c r="E19" i="4"/>
  <c r="E18" i="4"/>
  <c r="E17" i="4"/>
  <c r="E16" i="4"/>
  <c r="E15" i="4"/>
  <c r="E14" i="4"/>
  <c r="E13" i="4"/>
  <c r="E12" i="4"/>
  <c r="E11" i="4"/>
  <c r="F9" i="4"/>
  <c r="D9" i="4"/>
  <c r="C9" i="4"/>
  <c r="V25" i="3"/>
  <c r="U25" i="3"/>
  <c r="T25" i="3"/>
  <c r="S25" i="3"/>
  <c r="Q25" i="3"/>
  <c r="P25" i="3"/>
  <c r="K25" i="3"/>
  <c r="E25" i="3"/>
  <c r="V24" i="3"/>
  <c r="U24" i="3"/>
  <c r="T24" i="3"/>
  <c r="S24" i="3"/>
  <c r="Q24" i="3"/>
  <c r="P24" i="3"/>
  <c r="K24" i="3"/>
  <c r="E24" i="3"/>
  <c r="V23" i="3"/>
  <c r="U23" i="3"/>
  <c r="T23" i="3"/>
  <c r="S23" i="3"/>
  <c r="Q23" i="3"/>
  <c r="P23" i="3"/>
  <c r="K23" i="3"/>
  <c r="E23" i="3"/>
  <c r="V22" i="3"/>
  <c r="U22" i="3"/>
  <c r="T22" i="3"/>
  <c r="S22" i="3"/>
  <c r="Q22" i="3"/>
  <c r="P22" i="3"/>
  <c r="K22" i="3"/>
  <c r="E22" i="3"/>
  <c r="V21" i="3"/>
  <c r="U21" i="3"/>
  <c r="T21" i="3"/>
  <c r="S21" i="3"/>
  <c r="Q21" i="3"/>
  <c r="P21" i="3"/>
  <c r="K21" i="3"/>
  <c r="E21" i="3"/>
  <c r="V20" i="3"/>
  <c r="U20" i="3"/>
  <c r="T20" i="3"/>
  <c r="S20" i="3"/>
  <c r="Q20" i="3"/>
  <c r="P20" i="3"/>
  <c r="K20" i="3"/>
  <c r="E20" i="3"/>
  <c r="V19" i="3"/>
  <c r="U19" i="3"/>
  <c r="T19" i="3"/>
  <c r="S19" i="3"/>
  <c r="Q19" i="3"/>
  <c r="P19" i="3"/>
  <c r="K19" i="3"/>
  <c r="E19" i="3"/>
  <c r="V18" i="3"/>
  <c r="U18" i="3"/>
  <c r="T18" i="3"/>
  <c r="S18" i="3"/>
  <c r="Q18" i="3"/>
  <c r="P18" i="3"/>
  <c r="K18" i="3"/>
  <c r="E18" i="3"/>
  <c r="V17" i="3"/>
  <c r="U17" i="3"/>
  <c r="T17" i="3"/>
  <c r="S17" i="3"/>
  <c r="Q17" i="3"/>
  <c r="P17" i="3"/>
  <c r="K17" i="3"/>
  <c r="E17" i="3"/>
  <c r="V16" i="3"/>
  <c r="V14" i="3" s="1"/>
  <c r="U16" i="3"/>
  <c r="T16" i="3"/>
  <c r="S16" i="3"/>
  <c r="Q16" i="3"/>
  <c r="Q14" i="3" s="1"/>
  <c r="P16" i="3"/>
  <c r="P14" i="3" s="1"/>
  <c r="K16" i="3"/>
  <c r="E16" i="3"/>
  <c r="O14" i="3"/>
  <c r="N14" i="3"/>
  <c r="M14" i="3"/>
  <c r="L14" i="3"/>
  <c r="J14" i="3"/>
  <c r="I14" i="3"/>
  <c r="H14" i="3"/>
  <c r="G14" i="3"/>
  <c r="F14" i="3"/>
  <c r="D14" i="3"/>
  <c r="C14" i="3"/>
  <c r="F86" i="21" l="1"/>
  <c r="F85" i="20"/>
  <c r="F84" i="19"/>
  <c r="F84" i="18"/>
  <c r="R17" i="3"/>
  <c r="R18" i="3"/>
  <c r="M18" i="16"/>
  <c r="M22" i="16"/>
  <c r="R19" i="3"/>
  <c r="R20" i="3"/>
  <c r="R22" i="3"/>
  <c r="R24" i="3"/>
  <c r="R25" i="3"/>
  <c r="M15" i="16"/>
  <c r="M16" i="16"/>
  <c r="M17" i="15"/>
  <c r="M14" i="15"/>
  <c r="M16" i="15"/>
  <c r="E12" i="14"/>
  <c r="N18" i="14"/>
  <c r="N16" i="14"/>
  <c r="N22" i="14"/>
  <c r="AG14" i="6"/>
  <c r="M17" i="16"/>
  <c r="M21" i="16"/>
  <c r="M21" i="15"/>
  <c r="N20" i="14"/>
  <c r="N21" i="14"/>
  <c r="N12" i="14"/>
  <c r="N14" i="14"/>
  <c r="N17" i="14"/>
  <c r="H12" i="14"/>
  <c r="Y10" i="6"/>
  <c r="AF10" i="6"/>
  <c r="L16" i="6"/>
  <c r="AG19" i="6"/>
  <c r="F10" i="5"/>
  <c r="M10" i="5" s="1"/>
  <c r="K14" i="3"/>
  <c r="M20" i="16"/>
  <c r="M14" i="16"/>
  <c r="M19" i="16"/>
  <c r="M19" i="15"/>
  <c r="M20" i="15"/>
  <c r="M18" i="15"/>
  <c r="M22" i="15"/>
  <c r="M15" i="15"/>
  <c r="K12" i="14"/>
  <c r="N15" i="14"/>
  <c r="N19" i="14"/>
  <c r="C12" i="13"/>
  <c r="N14" i="13"/>
  <c r="O14" i="13" s="1"/>
  <c r="D12" i="13"/>
  <c r="N12" i="13" s="1"/>
  <c r="O22" i="12"/>
  <c r="N19" i="12"/>
  <c r="O19" i="12" s="1"/>
  <c r="D12" i="12"/>
  <c r="N12" i="12" s="1"/>
  <c r="O12" i="12" s="1"/>
  <c r="N15" i="12"/>
  <c r="O15" i="12" s="1"/>
  <c r="N12" i="11"/>
  <c r="O12" i="11" s="1"/>
  <c r="N15" i="11"/>
  <c r="O15" i="11" s="1"/>
  <c r="N18" i="10"/>
  <c r="O18" i="10" s="1"/>
  <c r="N14" i="10"/>
  <c r="O14" i="10" s="1"/>
  <c r="D12" i="10"/>
  <c r="N12" i="10" s="1"/>
  <c r="O12" i="10" s="1"/>
  <c r="D20" i="8"/>
  <c r="D23" i="8"/>
  <c r="D22" i="8"/>
  <c r="D27" i="8"/>
  <c r="D19" i="8"/>
  <c r="D15" i="8"/>
  <c r="D26" i="8"/>
  <c r="D18" i="8"/>
  <c r="D11" i="8"/>
  <c r="D25" i="8"/>
  <c r="D17" i="8"/>
  <c r="D16" i="8"/>
  <c r="D24" i="8"/>
  <c r="D14" i="8"/>
  <c r="D21" i="8"/>
  <c r="D13" i="8"/>
  <c r="D12" i="8"/>
  <c r="N16" i="7"/>
  <c r="I16" i="7"/>
  <c r="S10" i="6"/>
  <c r="L15" i="6"/>
  <c r="AG18" i="6"/>
  <c r="L12" i="6"/>
  <c r="L17" i="6"/>
  <c r="L20" i="6"/>
  <c r="L13" i="6"/>
  <c r="F10" i="6"/>
  <c r="AG10" i="6" s="1"/>
  <c r="AE10" i="5"/>
  <c r="E9" i="4"/>
  <c r="R23" i="3"/>
  <c r="E14" i="3"/>
  <c r="R21" i="3"/>
  <c r="U14" i="3"/>
  <c r="T14" i="3"/>
  <c r="S14" i="3"/>
  <c r="R16" i="3"/>
  <c r="U24" i="2"/>
  <c r="T24" i="2"/>
  <c r="S24" i="2"/>
  <c r="K24" i="2"/>
  <c r="J24" i="2"/>
  <c r="I24" i="2"/>
  <c r="E24" i="2"/>
  <c r="D24" i="2"/>
  <c r="C24" i="2"/>
  <c r="U23" i="2"/>
  <c r="T23" i="2"/>
  <c r="S23" i="2"/>
  <c r="K23" i="2"/>
  <c r="J23" i="2"/>
  <c r="I23" i="2"/>
  <c r="E23" i="2"/>
  <c r="D23" i="2"/>
  <c r="C23" i="2"/>
  <c r="U22" i="2"/>
  <c r="T22" i="2"/>
  <c r="S22" i="2"/>
  <c r="K22" i="2"/>
  <c r="J22" i="2"/>
  <c r="I22" i="2"/>
  <c r="E22" i="2"/>
  <c r="D22" i="2"/>
  <c r="C22" i="2"/>
  <c r="U21" i="2"/>
  <c r="T21" i="2"/>
  <c r="S21" i="2"/>
  <c r="K21" i="2"/>
  <c r="J21" i="2"/>
  <c r="I21" i="2"/>
  <c r="E21" i="2"/>
  <c r="D21" i="2"/>
  <c r="C21" i="2"/>
  <c r="U20" i="2"/>
  <c r="T20" i="2"/>
  <c r="S20" i="2"/>
  <c r="K20" i="2"/>
  <c r="J20" i="2"/>
  <c r="I20" i="2"/>
  <c r="E20" i="2"/>
  <c r="D20" i="2"/>
  <c r="C20" i="2"/>
  <c r="U19" i="2"/>
  <c r="T19" i="2"/>
  <c r="S19" i="2"/>
  <c r="K19" i="2"/>
  <c r="J19" i="2"/>
  <c r="I19" i="2"/>
  <c r="E19" i="2"/>
  <c r="D19" i="2"/>
  <c r="C19" i="2"/>
  <c r="U18" i="2"/>
  <c r="T18" i="2"/>
  <c r="S18" i="2"/>
  <c r="K18" i="2"/>
  <c r="J18" i="2"/>
  <c r="I18" i="2"/>
  <c r="E18" i="2"/>
  <c r="D18" i="2"/>
  <c r="C18" i="2"/>
  <c r="U17" i="2"/>
  <c r="T17" i="2"/>
  <c r="S17" i="2"/>
  <c r="K17" i="2"/>
  <c r="J17" i="2"/>
  <c r="I17" i="2"/>
  <c r="E17" i="2"/>
  <c r="D17" i="2"/>
  <c r="C17" i="2"/>
  <c r="U16" i="2"/>
  <c r="T16" i="2"/>
  <c r="S16" i="2"/>
  <c r="K16" i="2"/>
  <c r="J16" i="2"/>
  <c r="I16" i="2"/>
  <c r="E16" i="2"/>
  <c r="D16" i="2"/>
  <c r="C16" i="2"/>
  <c r="U15" i="2"/>
  <c r="T15" i="2"/>
  <c r="S15" i="2"/>
  <c r="K15" i="2"/>
  <c r="J15" i="2"/>
  <c r="I15" i="2"/>
  <c r="E15" i="2"/>
  <c r="D15" i="2"/>
  <c r="C15" i="2"/>
  <c r="O13" i="2"/>
  <c r="N13" i="2"/>
  <c r="M13" i="2"/>
  <c r="L13" i="2"/>
  <c r="H13" i="2"/>
  <c r="G13" i="2"/>
  <c r="F13" i="2"/>
  <c r="M12" i="16" l="1"/>
  <c r="R24" i="2"/>
  <c r="R22" i="2"/>
  <c r="Q23" i="2"/>
  <c r="R19" i="2"/>
  <c r="M12" i="15"/>
  <c r="Q20" i="2"/>
  <c r="R14" i="3"/>
  <c r="P21" i="2"/>
  <c r="I13" i="2"/>
  <c r="R16" i="2"/>
  <c r="Q17" i="2"/>
  <c r="P18" i="2"/>
  <c r="O12" i="13"/>
  <c r="L10" i="6"/>
  <c r="R17" i="2"/>
  <c r="Q18" i="2"/>
  <c r="P19" i="2"/>
  <c r="R23" i="2"/>
  <c r="P24" i="2"/>
  <c r="Q19" i="2"/>
  <c r="Q24" i="2"/>
  <c r="P16" i="2"/>
  <c r="R21" i="2"/>
  <c r="P22" i="2"/>
  <c r="R20" i="2"/>
  <c r="Q21" i="2"/>
  <c r="Q16" i="2"/>
  <c r="P17" i="2"/>
  <c r="Q22" i="2"/>
  <c r="P23" i="2"/>
  <c r="P20" i="2"/>
  <c r="U13" i="2"/>
  <c r="T13" i="2"/>
  <c r="R18" i="2"/>
  <c r="K13" i="2"/>
  <c r="P15" i="2"/>
  <c r="R15" i="2"/>
  <c r="Q15" i="2"/>
  <c r="S13" i="2"/>
  <c r="J13" i="2"/>
  <c r="D13" i="2"/>
  <c r="V13" i="2"/>
  <c r="E13" i="2"/>
  <c r="C13" i="2"/>
  <c r="L33" i="13"/>
  <c r="H33" i="13"/>
  <c r="E33" i="13"/>
  <c r="D33" i="13"/>
  <c r="C33" i="13"/>
  <c r="L32" i="13"/>
  <c r="H32" i="13"/>
  <c r="E32" i="13"/>
  <c r="D32" i="13"/>
  <c r="C32" i="13"/>
  <c r="L31" i="13"/>
  <c r="H31" i="13"/>
  <c r="E31" i="13"/>
  <c r="D31" i="13"/>
  <c r="L30" i="13"/>
  <c r="H30" i="13"/>
  <c r="L29" i="13"/>
  <c r="H29" i="13"/>
  <c r="E29" i="13"/>
  <c r="D29" i="13"/>
  <c r="C29" i="13"/>
  <c r="L28" i="13"/>
  <c r="H28" i="13"/>
  <c r="E28" i="13"/>
  <c r="L27" i="13"/>
  <c r="H27" i="13"/>
  <c r="L26" i="13"/>
  <c r="H26" i="13"/>
  <c r="L25" i="13"/>
  <c r="J25" i="13"/>
  <c r="H25" i="13"/>
  <c r="L33" i="12"/>
  <c r="H33" i="12"/>
  <c r="E33" i="12"/>
  <c r="D33" i="12"/>
  <c r="C33" i="12"/>
  <c r="M32" i="12"/>
  <c r="L32" i="12"/>
  <c r="H32" i="12"/>
  <c r="E32" i="12"/>
  <c r="D32" i="12"/>
  <c r="L31" i="12"/>
  <c r="H31" i="12"/>
  <c r="E31" i="12"/>
  <c r="D31" i="12"/>
  <c r="C31" i="12"/>
  <c r="M30" i="12"/>
  <c r="L30" i="12"/>
  <c r="H30" i="12"/>
  <c r="L29" i="12"/>
  <c r="H29" i="12"/>
  <c r="E29" i="12"/>
  <c r="D29" i="12"/>
  <c r="C29" i="12"/>
  <c r="L28" i="12"/>
  <c r="H28" i="12"/>
  <c r="E28" i="12"/>
  <c r="L27" i="12"/>
  <c r="H27" i="12"/>
  <c r="L26" i="12"/>
  <c r="H26" i="12"/>
  <c r="L25" i="12"/>
  <c r="H25" i="12"/>
  <c r="L33" i="11"/>
  <c r="H33" i="11"/>
  <c r="E33" i="11"/>
  <c r="D33" i="11"/>
  <c r="M32" i="11"/>
  <c r="L32" i="11"/>
  <c r="H32" i="11"/>
  <c r="E32" i="11"/>
  <c r="D32" i="11"/>
  <c r="L31" i="11"/>
  <c r="H31" i="11"/>
  <c r="E31" i="11"/>
  <c r="D31" i="11"/>
  <c r="L30" i="11"/>
  <c r="H30" i="11"/>
  <c r="L29" i="11"/>
  <c r="H29" i="11"/>
  <c r="E29" i="11"/>
  <c r="D29" i="11"/>
  <c r="L28" i="11"/>
  <c r="H28" i="11"/>
  <c r="L27" i="11"/>
  <c r="L26" i="11"/>
  <c r="H26" i="11"/>
  <c r="L25" i="11"/>
  <c r="H25" i="11"/>
  <c r="M33" i="10"/>
  <c r="L33" i="10"/>
  <c r="H33" i="10"/>
  <c r="G33" i="10"/>
  <c r="F33" i="10"/>
  <c r="E33" i="10"/>
  <c r="D33" i="10"/>
  <c r="C33" i="10"/>
  <c r="L32" i="10"/>
  <c r="H32" i="10"/>
  <c r="E32" i="10"/>
  <c r="D32" i="10"/>
  <c r="C32" i="10"/>
  <c r="L31" i="10"/>
  <c r="H31" i="10"/>
  <c r="E31" i="10"/>
  <c r="D31" i="10"/>
  <c r="C31" i="10"/>
  <c r="L30" i="10"/>
  <c r="H30" i="10"/>
  <c r="M29" i="10"/>
  <c r="L29" i="10"/>
  <c r="J29" i="10"/>
  <c r="H29" i="10"/>
  <c r="E29" i="10"/>
  <c r="D29" i="10"/>
  <c r="C29" i="10"/>
  <c r="L28" i="10"/>
  <c r="H28" i="10"/>
  <c r="E28" i="10"/>
  <c r="M27" i="10"/>
  <c r="L27" i="10"/>
  <c r="H27" i="10"/>
  <c r="L26" i="10"/>
  <c r="H26" i="10"/>
  <c r="L25" i="10"/>
  <c r="H25" i="10"/>
  <c r="J13" i="9"/>
  <c r="G13" i="9"/>
  <c r="D13" i="9"/>
  <c r="Q13" i="2" l="1"/>
  <c r="P13" i="2"/>
  <c r="R13" i="2"/>
  <c r="N20" i="24"/>
  <c r="N19" i="24"/>
  <c r="N18" i="24"/>
  <c r="N17" i="24"/>
  <c r="N10" i="24"/>
  <c r="H31" i="22"/>
  <c r="F31" i="22"/>
  <c r="F38" i="3" l="1"/>
  <c r="G38" i="3"/>
  <c r="H38" i="3"/>
  <c r="F37" i="2" l="1"/>
  <c r="G37" i="2"/>
  <c r="H37" i="2"/>
  <c r="AA32" i="6" l="1"/>
  <c r="W32" i="6"/>
  <c r="N32" i="6"/>
  <c r="G32" i="6"/>
  <c r="D32" i="6"/>
  <c r="AC32" i="5"/>
  <c r="R32" i="5" l="1"/>
  <c r="K32" i="5" l="1"/>
  <c r="D32" i="5"/>
  <c r="C31" i="4"/>
  <c r="E12" i="8"/>
  <c r="K23" i="16" l="1"/>
  <c r="J23" i="16"/>
  <c r="D23" i="16"/>
  <c r="E23" i="16"/>
  <c r="F23" i="16"/>
  <c r="G23" i="16"/>
  <c r="H23" i="16"/>
  <c r="C23" i="16"/>
  <c r="K23" i="15"/>
  <c r="J23" i="15"/>
  <c r="D23" i="15"/>
  <c r="E23" i="15"/>
  <c r="F23" i="15"/>
  <c r="G23" i="15"/>
  <c r="H23" i="15"/>
  <c r="C23" i="15"/>
  <c r="M23" i="14"/>
  <c r="L23" i="14"/>
  <c r="J23" i="14"/>
  <c r="I23" i="14"/>
  <c r="G23" i="14"/>
  <c r="F23" i="14"/>
  <c r="D23" i="14"/>
  <c r="C23" i="14"/>
  <c r="M23" i="13"/>
  <c r="L23" i="13"/>
  <c r="K23" i="13"/>
  <c r="J23" i="13"/>
  <c r="I23" i="13"/>
  <c r="H23" i="13"/>
  <c r="G23" i="13"/>
  <c r="F23" i="13"/>
  <c r="E23" i="13"/>
  <c r="D23" i="13"/>
  <c r="C23" i="13"/>
  <c r="M23" i="12"/>
  <c r="L23" i="12"/>
  <c r="K23" i="12"/>
  <c r="J23" i="12"/>
  <c r="I23" i="12"/>
  <c r="H23" i="12"/>
  <c r="G23" i="12"/>
  <c r="F23" i="12"/>
  <c r="E23" i="12"/>
  <c r="D23" i="12"/>
  <c r="C23" i="12"/>
  <c r="M23" i="11"/>
  <c r="L23" i="11"/>
  <c r="K23" i="11"/>
  <c r="J23" i="11"/>
  <c r="I23" i="11"/>
  <c r="H23" i="11"/>
  <c r="G23" i="11"/>
  <c r="F23" i="11"/>
  <c r="E23" i="11"/>
  <c r="D23" i="11"/>
  <c r="C23" i="11"/>
  <c r="L26" i="16"/>
  <c r="L27" i="16"/>
  <c r="L28" i="16"/>
  <c r="L29" i="16"/>
  <c r="L30" i="16"/>
  <c r="L31" i="16"/>
  <c r="L32" i="16"/>
  <c r="L33" i="16"/>
  <c r="L25" i="16"/>
  <c r="I26" i="16"/>
  <c r="I27" i="16"/>
  <c r="I28" i="16"/>
  <c r="I29" i="16"/>
  <c r="I30" i="16"/>
  <c r="I31" i="16"/>
  <c r="I32" i="16"/>
  <c r="I33" i="16"/>
  <c r="I25" i="16"/>
  <c r="L26" i="15"/>
  <c r="L27" i="15"/>
  <c r="L28" i="15"/>
  <c r="L29" i="15"/>
  <c r="L30" i="15"/>
  <c r="L31" i="15"/>
  <c r="L32" i="15"/>
  <c r="L33" i="15"/>
  <c r="L25" i="15"/>
  <c r="I26" i="15"/>
  <c r="I27" i="15"/>
  <c r="I28" i="15"/>
  <c r="I29" i="15"/>
  <c r="I30" i="15"/>
  <c r="I31" i="15"/>
  <c r="I32" i="15"/>
  <c r="I33" i="15"/>
  <c r="I25" i="15"/>
  <c r="K26" i="14"/>
  <c r="K27" i="14"/>
  <c r="K28" i="14"/>
  <c r="K29" i="14"/>
  <c r="K30" i="14"/>
  <c r="K31" i="14"/>
  <c r="K32" i="14"/>
  <c r="K33" i="14"/>
  <c r="K25" i="14"/>
  <c r="H26" i="14"/>
  <c r="H27" i="14"/>
  <c r="H28" i="14"/>
  <c r="H29" i="14"/>
  <c r="H30" i="14"/>
  <c r="H31" i="14"/>
  <c r="H32" i="14"/>
  <c r="H33" i="14"/>
  <c r="H25" i="14"/>
  <c r="E26" i="14"/>
  <c r="E27" i="14"/>
  <c r="E28" i="14"/>
  <c r="E29" i="14"/>
  <c r="E30" i="14"/>
  <c r="E31" i="14"/>
  <c r="E32" i="14"/>
  <c r="E33" i="14"/>
  <c r="E25" i="14"/>
  <c r="N77" i="12"/>
  <c r="O77" i="12" s="1"/>
  <c r="N77" i="13"/>
  <c r="O77" i="13" s="1"/>
  <c r="N77" i="14"/>
  <c r="K77" i="14"/>
  <c r="H77" i="14"/>
  <c r="E77" i="14"/>
  <c r="L77" i="15"/>
  <c r="I77" i="15"/>
  <c r="L77" i="16"/>
  <c r="I77" i="16"/>
  <c r="N77" i="11"/>
  <c r="O77" i="11" s="1"/>
  <c r="N76" i="12"/>
  <c r="O76" i="12" s="1"/>
  <c r="N76" i="13"/>
  <c r="O76" i="13" s="1"/>
  <c r="N76" i="14"/>
  <c r="K76" i="14"/>
  <c r="H76" i="14"/>
  <c r="E76" i="14"/>
  <c r="L76" i="15"/>
  <c r="I76" i="15"/>
  <c r="L76" i="16"/>
  <c r="I76" i="16"/>
  <c r="N76" i="11"/>
  <c r="O76" i="11" s="1"/>
  <c r="N75" i="12"/>
  <c r="O75" i="12" s="1"/>
  <c r="N75" i="13"/>
  <c r="O75" i="13" s="1"/>
  <c r="N75" i="14"/>
  <c r="K75" i="14"/>
  <c r="H75" i="14"/>
  <c r="E75" i="14"/>
  <c r="L75" i="15"/>
  <c r="I75" i="15"/>
  <c r="L75" i="16"/>
  <c r="I75" i="16"/>
  <c r="N75" i="11"/>
  <c r="O75" i="11" s="1"/>
  <c r="N74" i="12"/>
  <c r="O74" i="12" s="1"/>
  <c r="N74" i="13"/>
  <c r="O74" i="13" s="1"/>
  <c r="N74" i="14"/>
  <c r="K74" i="14"/>
  <c r="H74" i="14"/>
  <c r="E74" i="14"/>
  <c r="L74" i="15"/>
  <c r="I74" i="15"/>
  <c r="L74" i="16"/>
  <c r="I74" i="16"/>
  <c r="N74" i="11"/>
  <c r="O74" i="11" s="1"/>
  <c r="N73" i="12"/>
  <c r="O73" i="12" s="1"/>
  <c r="N73" i="13"/>
  <c r="O73" i="13" s="1"/>
  <c r="N73" i="14"/>
  <c r="K73" i="14"/>
  <c r="H73" i="14"/>
  <c r="E73" i="14"/>
  <c r="L73" i="15"/>
  <c r="I73" i="15"/>
  <c r="L73" i="16"/>
  <c r="I73" i="16"/>
  <c r="N73" i="11"/>
  <c r="O73" i="11" s="1"/>
  <c r="N72" i="12"/>
  <c r="O72" i="12" s="1"/>
  <c r="N72" i="13"/>
  <c r="O72" i="13" s="1"/>
  <c r="N72" i="14"/>
  <c r="K72" i="14"/>
  <c r="H72" i="14"/>
  <c r="E72" i="14"/>
  <c r="L72" i="15"/>
  <c r="I72" i="15"/>
  <c r="L72" i="16"/>
  <c r="I72" i="16"/>
  <c r="N72" i="11"/>
  <c r="O72" i="11" s="1"/>
  <c r="N71" i="12"/>
  <c r="O71" i="12" s="1"/>
  <c r="N71" i="13"/>
  <c r="O71" i="13" s="1"/>
  <c r="N71" i="14"/>
  <c r="K71" i="14"/>
  <c r="H71" i="14"/>
  <c r="E71" i="14"/>
  <c r="L71" i="15"/>
  <c r="I71" i="15"/>
  <c r="L71" i="16"/>
  <c r="I71" i="16"/>
  <c r="N71" i="11"/>
  <c r="O71" i="11" s="1"/>
  <c r="N70" i="12"/>
  <c r="O70" i="12" s="1"/>
  <c r="N70" i="13"/>
  <c r="O70" i="13" s="1"/>
  <c r="N70" i="14"/>
  <c r="K70" i="14"/>
  <c r="H70" i="14"/>
  <c r="E70" i="14"/>
  <c r="L70" i="15"/>
  <c r="I70" i="15"/>
  <c r="L70" i="16"/>
  <c r="I70" i="16"/>
  <c r="N70" i="11"/>
  <c r="O70" i="11" s="1"/>
  <c r="N69" i="12"/>
  <c r="O69" i="12" s="1"/>
  <c r="N69" i="13"/>
  <c r="O69" i="13" s="1"/>
  <c r="N69" i="14"/>
  <c r="K69" i="14"/>
  <c r="H69" i="14"/>
  <c r="E69" i="14"/>
  <c r="L69" i="15"/>
  <c r="I69" i="15"/>
  <c r="L69" i="16"/>
  <c r="I69" i="16"/>
  <c r="N69" i="11"/>
  <c r="O69" i="11" s="1"/>
  <c r="N66" i="12"/>
  <c r="O66" i="12" s="1"/>
  <c r="N66" i="13"/>
  <c r="O66" i="13" s="1"/>
  <c r="N66" i="14"/>
  <c r="K66" i="14"/>
  <c r="H66" i="14"/>
  <c r="E66" i="14"/>
  <c r="L66" i="15"/>
  <c r="I66" i="15"/>
  <c r="L66" i="16"/>
  <c r="I66" i="16"/>
  <c r="N66" i="11"/>
  <c r="O66" i="11" s="1"/>
  <c r="N65" i="12"/>
  <c r="O65" i="12" s="1"/>
  <c r="N65" i="13"/>
  <c r="O65" i="13" s="1"/>
  <c r="N65" i="14"/>
  <c r="K65" i="14"/>
  <c r="H65" i="14"/>
  <c r="E65" i="14"/>
  <c r="L65" i="15"/>
  <c r="I65" i="15"/>
  <c r="L65" i="16"/>
  <c r="I65" i="16"/>
  <c r="N65" i="11"/>
  <c r="O65" i="11" s="1"/>
  <c r="N64" i="12"/>
  <c r="O64" i="12" s="1"/>
  <c r="N64" i="13"/>
  <c r="O64" i="13" s="1"/>
  <c r="N64" i="14"/>
  <c r="K64" i="14"/>
  <c r="H64" i="14"/>
  <c r="E64" i="14"/>
  <c r="L64" i="15"/>
  <c r="I64" i="15"/>
  <c r="L64" i="16"/>
  <c r="I64" i="16"/>
  <c r="N64" i="11"/>
  <c r="O64" i="11" s="1"/>
  <c r="N63" i="12"/>
  <c r="O63" i="12" s="1"/>
  <c r="N63" i="13"/>
  <c r="O63" i="13" s="1"/>
  <c r="N63" i="14"/>
  <c r="K63" i="14"/>
  <c r="H63" i="14"/>
  <c r="E63" i="14"/>
  <c r="L63" i="15"/>
  <c r="I63" i="15"/>
  <c r="L63" i="16"/>
  <c r="I63" i="16"/>
  <c r="N63" i="11"/>
  <c r="O63" i="11" s="1"/>
  <c r="N62" i="12"/>
  <c r="O62" i="12" s="1"/>
  <c r="N62" i="13"/>
  <c r="O62" i="13" s="1"/>
  <c r="N62" i="14"/>
  <c r="K62" i="14"/>
  <c r="H62" i="14"/>
  <c r="E62" i="14"/>
  <c r="L62" i="15"/>
  <c r="I62" i="15"/>
  <c r="L62" i="16"/>
  <c r="I62" i="16"/>
  <c r="N62" i="11"/>
  <c r="O62" i="11" s="1"/>
  <c r="N61" i="12"/>
  <c r="O61" i="12" s="1"/>
  <c r="N61" i="13"/>
  <c r="O61" i="13" s="1"/>
  <c r="N61" i="14"/>
  <c r="K61" i="14"/>
  <c r="H61" i="14"/>
  <c r="E61" i="14"/>
  <c r="L61" i="15"/>
  <c r="I61" i="15"/>
  <c r="L61" i="16"/>
  <c r="I61" i="16"/>
  <c r="N61" i="11"/>
  <c r="O61" i="11" s="1"/>
  <c r="N60" i="12"/>
  <c r="O60" i="12" s="1"/>
  <c r="N60" i="13"/>
  <c r="O60" i="13" s="1"/>
  <c r="N60" i="14"/>
  <c r="K60" i="14"/>
  <c r="H60" i="14"/>
  <c r="E60" i="14"/>
  <c r="L60" i="15"/>
  <c r="I60" i="15"/>
  <c r="L60" i="16"/>
  <c r="I60" i="16"/>
  <c r="N60" i="11"/>
  <c r="O60" i="11" s="1"/>
  <c r="N59" i="12"/>
  <c r="O59" i="12" s="1"/>
  <c r="N59" i="13"/>
  <c r="O59" i="13" s="1"/>
  <c r="N59" i="14"/>
  <c r="K59" i="14"/>
  <c r="H59" i="14"/>
  <c r="E59" i="14"/>
  <c r="L59" i="15"/>
  <c r="I59" i="15"/>
  <c r="L59" i="16"/>
  <c r="I59" i="16"/>
  <c r="N59" i="11"/>
  <c r="O59" i="11" s="1"/>
  <c r="N58" i="12"/>
  <c r="O58" i="12" s="1"/>
  <c r="N58" i="13"/>
  <c r="O58" i="13" s="1"/>
  <c r="N58" i="14"/>
  <c r="K58" i="14"/>
  <c r="H58" i="14"/>
  <c r="E58" i="14"/>
  <c r="L58" i="15"/>
  <c r="I58" i="15"/>
  <c r="L58" i="16"/>
  <c r="I58" i="16"/>
  <c r="N58" i="11"/>
  <c r="O58" i="11" s="1"/>
  <c r="N55" i="12"/>
  <c r="O55" i="12" s="1"/>
  <c r="N55" i="13"/>
  <c r="O55" i="13" s="1"/>
  <c r="N55" i="14"/>
  <c r="K55" i="14"/>
  <c r="H55" i="14"/>
  <c r="E55" i="14"/>
  <c r="L55" i="15"/>
  <c r="I55" i="15"/>
  <c r="L55" i="16"/>
  <c r="I55" i="16"/>
  <c r="N55" i="11"/>
  <c r="O55" i="11" s="1"/>
  <c r="N54" i="12"/>
  <c r="O54" i="12" s="1"/>
  <c r="N54" i="13"/>
  <c r="O54" i="13" s="1"/>
  <c r="N54" i="14"/>
  <c r="K54" i="14"/>
  <c r="H54" i="14"/>
  <c r="E54" i="14"/>
  <c r="L54" i="15"/>
  <c r="I54" i="15"/>
  <c r="L54" i="16"/>
  <c r="I54" i="16"/>
  <c r="N54" i="11"/>
  <c r="O54" i="11" s="1"/>
  <c r="N53" i="12"/>
  <c r="O53" i="12" s="1"/>
  <c r="N53" i="13"/>
  <c r="O53" i="13" s="1"/>
  <c r="N53" i="14"/>
  <c r="K53" i="14"/>
  <c r="H53" i="14"/>
  <c r="E53" i="14"/>
  <c r="L53" i="15"/>
  <c r="I53" i="15"/>
  <c r="L53" i="16"/>
  <c r="I53" i="16"/>
  <c r="N53" i="11"/>
  <c r="O53" i="11" s="1"/>
  <c r="N52" i="12"/>
  <c r="O52" i="12" s="1"/>
  <c r="N52" i="13"/>
  <c r="O52" i="13" s="1"/>
  <c r="N52" i="14"/>
  <c r="K52" i="14"/>
  <c r="H52" i="14"/>
  <c r="E52" i="14"/>
  <c r="L52" i="15"/>
  <c r="I52" i="15"/>
  <c r="L52" i="16"/>
  <c r="I52" i="16"/>
  <c r="N52" i="11"/>
  <c r="O52" i="11" s="1"/>
  <c r="N51" i="12"/>
  <c r="O51" i="12" s="1"/>
  <c r="N51" i="13"/>
  <c r="O51" i="13" s="1"/>
  <c r="N51" i="14"/>
  <c r="K51" i="14"/>
  <c r="H51" i="14"/>
  <c r="E51" i="14"/>
  <c r="L51" i="15"/>
  <c r="I51" i="15"/>
  <c r="L51" i="16"/>
  <c r="I51" i="16"/>
  <c r="N51" i="11"/>
  <c r="O51" i="11" s="1"/>
  <c r="N50" i="12"/>
  <c r="O50" i="12" s="1"/>
  <c r="N50" i="13"/>
  <c r="O50" i="13" s="1"/>
  <c r="N50" i="14"/>
  <c r="K50" i="14"/>
  <c r="H50" i="14"/>
  <c r="E50" i="14"/>
  <c r="L50" i="15"/>
  <c r="I50" i="15"/>
  <c r="L50" i="16"/>
  <c r="I50" i="16"/>
  <c r="N50" i="11"/>
  <c r="O50" i="11" s="1"/>
  <c r="N49" i="12"/>
  <c r="O49" i="12" s="1"/>
  <c r="N49" i="13"/>
  <c r="O49" i="13" s="1"/>
  <c r="N49" i="14"/>
  <c r="K49" i="14"/>
  <c r="H49" i="14"/>
  <c r="E49" i="14"/>
  <c r="L49" i="15"/>
  <c r="I49" i="15"/>
  <c r="L49" i="16"/>
  <c r="I49" i="16"/>
  <c r="N49" i="11"/>
  <c r="O49" i="11" s="1"/>
  <c r="N48" i="12"/>
  <c r="O48" i="12" s="1"/>
  <c r="N48" i="13"/>
  <c r="O48" i="13" s="1"/>
  <c r="N48" i="14"/>
  <c r="K48" i="14"/>
  <c r="H48" i="14"/>
  <c r="E48" i="14"/>
  <c r="L48" i="15"/>
  <c r="I48" i="15"/>
  <c r="L48" i="16"/>
  <c r="I48" i="16"/>
  <c r="N48" i="11"/>
  <c r="O48" i="11" s="1"/>
  <c r="N47" i="12"/>
  <c r="O47" i="12" s="1"/>
  <c r="N47" i="13"/>
  <c r="O47" i="13" s="1"/>
  <c r="N47" i="14"/>
  <c r="K47" i="14"/>
  <c r="H47" i="14"/>
  <c r="E47" i="14"/>
  <c r="L47" i="15"/>
  <c r="I47" i="15"/>
  <c r="L47" i="16"/>
  <c r="I47" i="16"/>
  <c r="N47" i="11"/>
  <c r="O47" i="11" s="1"/>
  <c r="N44" i="12"/>
  <c r="O44" i="12" s="1"/>
  <c r="N44" i="13"/>
  <c r="O44" i="13" s="1"/>
  <c r="N44" i="14"/>
  <c r="K44" i="14"/>
  <c r="H44" i="14"/>
  <c r="E44" i="14"/>
  <c r="L44" i="15"/>
  <c r="I44" i="15"/>
  <c r="L44" i="16"/>
  <c r="I44" i="16"/>
  <c r="N44" i="11"/>
  <c r="O44" i="11" s="1"/>
  <c r="N43" i="12"/>
  <c r="O43" i="12" s="1"/>
  <c r="N43" i="13"/>
  <c r="O43" i="13" s="1"/>
  <c r="N43" i="14"/>
  <c r="K43" i="14"/>
  <c r="H43" i="14"/>
  <c r="E43" i="14"/>
  <c r="L43" i="15"/>
  <c r="I43" i="15"/>
  <c r="L43" i="16"/>
  <c r="I43" i="16"/>
  <c r="N43" i="11"/>
  <c r="O43" i="11" s="1"/>
  <c r="N42" i="12"/>
  <c r="O42" i="12" s="1"/>
  <c r="N42" i="13"/>
  <c r="O42" i="13" s="1"/>
  <c r="N42" i="14"/>
  <c r="K42" i="14"/>
  <c r="H42" i="14"/>
  <c r="E42" i="14"/>
  <c r="L42" i="15"/>
  <c r="I42" i="15"/>
  <c r="L42" i="16"/>
  <c r="I42" i="16"/>
  <c r="N42" i="11"/>
  <c r="O42" i="11" s="1"/>
  <c r="N41" i="12"/>
  <c r="O41" i="12" s="1"/>
  <c r="N41" i="13"/>
  <c r="O41" i="13" s="1"/>
  <c r="N41" i="14"/>
  <c r="K41" i="14"/>
  <c r="H41" i="14"/>
  <c r="E41" i="14"/>
  <c r="L41" i="15"/>
  <c r="I41" i="15"/>
  <c r="L41" i="16"/>
  <c r="I41" i="16"/>
  <c r="N41" i="11"/>
  <c r="O41" i="11" s="1"/>
  <c r="N40" i="12"/>
  <c r="O40" i="12" s="1"/>
  <c r="N40" i="13"/>
  <c r="O40" i="13" s="1"/>
  <c r="N40" i="14"/>
  <c r="K40" i="14"/>
  <c r="H40" i="14"/>
  <c r="E40" i="14"/>
  <c r="L40" i="15"/>
  <c r="I40" i="15"/>
  <c r="L40" i="16"/>
  <c r="I40" i="16"/>
  <c r="N40" i="11"/>
  <c r="O40" i="11" s="1"/>
  <c r="N39" i="12"/>
  <c r="O39" i="12" s="1"/>
  <c r="N39" i="13"/>
  <c r="O39" i="13" s="1"/>
  <c r="N39" i="14"/>
  <c r="K39" i="14"/>
  <c r="H39" i="14"/>
  <c r="E39" i="14"/>
  <c r="L39" i="15"/>
  <c r="I39" i="15"/>
  <c r="L39" i="16"/>
  <c r="I39" i="16"/>
  <c r="N39" i="11"/>
  <c r="O39" i="11" s="1"/>
  <c r="N38" i="12"/>
  <c r="O38" i="12" s="1"/>
  <c r="N38" i="13"/>
  <c r="O38" i="13" s="1"/>
  <c r="N38" i="14"/>
  <c r="K38" i="14"/>
  <c r="H38" i="14"/>
  <c r="E38" i="14"/>
  <c r="L38" i="15"/>
  <c r="I38" i="15"/>
  <c r="L38" i="16"/>
  <c r="E38" i="16"/>
  <c r="I38" i="16" s="1"/>
  <c r="N38" i="11"/>
  <c r="O38" i="11" s="1"/>
  <c r="N37" i="12"/>
  <c r="O37" i="12" s="1"/>
  <c r="N37" i="13"/>
  <c r="O37" i="13" s="1"/>
  <c r="N37" i="14"/>
  <c r="K37" i="14"/>
  <c r="H37" i="14"/>
  <c r="E37" i="14"/>
  <c r="L37" i="15"/>
  <c r="I37" i="15"/>
  <c r="L37" i="16"/>
  <c r="I37" i="16"/>
  <c r="N37" i="11"/>
  <c r="O37" i="11" s="1"/>
  <c r="N36" i="12"/>
  <c r="O36" i="12" s="1"/>
  <c r="N36" i="13"/>
  <c r="O36" i="13" s="1"/>
  <c r="N36" i="14"/>
  <c r="K36" i="14"/>
  <c r="H36" i="14"/>
  <c r="E36" i="14"/>
  <c r="L36" i="15"/>
  <c r="I36" i="15"/>
  <c r="L36" i="16"/>
  <c r="I36" i="16"/>
  <c r="N36" i="11"/>
  <c r="O36" i="11" s="1"/>
  <c r="N33" i="13"/>
  <c r="O33" i="13" s="1"/>
  <c r="N32" i="13"/>
  <c r="O32" i="13" s="1"/>
  <c r="N31" i="13"/>
  <c r="O31" i="13" s="1"/>
  <c r="N30" i="13"/>
  <c r="O30" i="13" s="1"/>
  <c r="N29" i="13"/>
  <c r="O29" i="13" s="1"/>
  <c r="N28" i="13"/>
  <c r="O28" i="13" s="1"/>
  <c r="N27" i="13"/>
  <c r="O27" i="13" s="1"/>
  <c r="N26" i="13"/>
  <c r="O26" i="13" s="1"/>
  <c r="N25" i="13"/>
  <c r="O25" i="13" s="1"/>
  <c r="N33" i="12"/>
  <c r="O33" i="12" s="1"/>
  <c r="N32" i="12"/>
  <c r="O32" i="12" s="1"/>
  <c r="N31" i="12"/>
  <c r="O31" i="12" s="1"/>
  <c r="N30" i="12"/>
  <c r="O30" i="12" s="1"/>
  <c r="N29" i="12"/>
  <c r="O29" i="12" s="1"/>
  <c r="N28" i="12"/>
  <c r="O28" i="12" s="1"/>
  <c r="N27" i="12"/>
  <c r="O27" i="12" s="1"/>
  <c r="N26" i="12"/>
  <c r="O26" i="12" s="1"/>
  <c r="N25" i="12"/>
  <c r="O25" i="12" s="1"/>
  <c r="N33" i="11"/>
  <c r="O33" i="11" s="1"/>
  <c r="N32" i="11"/>
  <c r="O32" i="11" s="1"/>
  <c r="N31" i="11"/>
  <c r="O31" i="11" s="1"/>
  <c r="N30" i="11"/>
  <c r="O30" i="11" s="1"/>
  <c r="N29" i="11"/>
  <c r="O29" i="11" s="1"/>
  <c r="N28" i="11"/>
  <c r="O28" i="11" s="1"/>
  <c r="N27" i="11"/>
  <c r="O27" i="11" s="1"/>
  <c r="N26" i="11"/>
  <c r="O26" i="11" s="1"/>
  <c r="N25" i="11"/>
  <c r="O25" i="11" s="1"/>
  <c r="N77" i="10"/>
  <c r="O77" i="10" s="1"/>
  <c r="N76" i="10"/>
  <c r="O76" i="10" s="1"/>
  <c r="N75" i="10"/>
  <c r="O75" i="10" s="1"/>
  <c r="N74" i="10"/>
  <c r="O74" i="10" s="1"/>
  <c r="N73" i="10"/>
  <c r="O73" i="10" s="1"/>
  <c r="N72" i="10"/>
  <c r="O72" i="10" s="1"/>
  <c r="N71" i="10"/>
  <c r="O71" i="10" s="1"/>
  <c r="N70" i="10"/>
  <c r="O70" i="10" s="1"/>
  <c r="N69" i="10"/>
  <c r="O69" i="10" s="1"/>
  <c r="N66" i="10"/>
  <c r="O66" i="10" s="1"/>
  <c r="N65" i="10"/>
  <c r="O65" i="10" s="1"/>
  <c r="N64" i="10"/>
  <c r="O64" i="10" s="1"/>
  <c r="N63" i="10"/>
  <c r="O63" i="10" s="1"/>
  <c r="N62" i="10"/>
  <c r="O62" i="10" s="1"/>
  <c r="N61" i="10"/>
  <c r="O61" i="10" s="1"/>
  <c r="N60" i="10"/>
  <c r="O60" i="10" s="1"/>
  <c r="N59" i="10"/>
  <c r="O59" i="10" s="1"/>
  <c r="N58" i="10"/>
  <c r="O58" i="10" s="1"/>
  <c r="N55" i="10"/>
  <c r="O55" i="10" s="1"/>
  <c r="N54" i="10"/>
  <c r="O54" i="10" s="1"/>
  <c r="N53" i="10"/>
  <c r="O53" i="10" s="1"/>
  <c r="N52" i="10"/>
  <c r="O52" i="10" s="1"/>
  <c r="N51" i="10"/>
  <c r="O51" i="10" s="1"/>
  <c r="N50" i="10"/>
  <c r="O50" i="10" s="1"/>
  <c r="N49" i="10"/>
  <c r="O49" i="10" s="1"/>
  <c r="N48" i="10"/>
  <c r="O48" i="10" s="1"/>
  <c r="N47" i="10"/>
  <c r="O47" i="10" s="1"/>
  <c r="N44" i="10"/>
  <c r="O44" i="10" s="1"/>
  <c r="N43" i="10"/>
  <c r="O43" i="10" s="1"/>
  <c r="N42" i="10"/>
  <c r="O42" i="10" s="1"/>
  <c r="N41" i="10"/>
  <c r="O41" i="10" s="1"/>
  <c r="N40" i="10"/>
  <c r="O40" i="10" s="1"/>
  <c r="N39" i="10"/>
  <c r="O39" i="10" s="1"/>
  <c r="N38" i="10"/>
  <c r="O38" i="10" s="1"/>
  <c r="N37" i="10"/>
  <c r="O37" i="10" s="1"/>
  <c r="N36" i="10"/>
  <c r="O36" i="10" s="1"/>
  <c r="D23" i="10"/>
  <c r="E23" i="10"/>
  <c r="F23" i="10"/>
  <c r="G23" i="10"/>
  <c r="H23" i="10"/>
  <c r="I23" i="10"/>
  <c r="J23" i="10"/>
  <c r="K23" i="10"/>
  <c r="L23" i="10"/>
  <c r="M23" i="10"/>
  <c r="C23" i="10"/>
  <c r="N26" i="10"/>
  <c r="O26" i="10" s="1"/>
  <c r="N27" i="10"/>
  <c r="O27" i="10" s="1"/>
  <c r="N28" i="10"/>
  <c r="O28" i="10" s="1"/>
  <c r="N29" i="10"/>
  <c r="O29" i="10" s="1"/>
  <c r="N30" i="10"/>
  <c r="O30" i="10" s="1"/>
  <c r="N31" i="10"/>
  <c r="O31" i="10" s="1"/>
  <c r="N32" i="10"/>
  <c r="O32" i="10" s="1"/>
  <c r="N33" i="10"/>
  <c r="O33" i="10" s="1"/>
  <c r="N25" i="10"/>
  <c r="O25" i="10" s="1"/>
  <c r="M39" i="16" l="1"/>
  <c r="M76" i="16"/>
  <c r="M76" i="15"/>
  <c r="M60" i="16"/>
  <c r="M71" i="16"/>
  <c r="M77" i="16"/>
  <c r="M29" i="16"/>
  <c r="M52" i="15"/>
  <c r="M71" i="15"/>
  <c r="M75" i="15"/>
  <c r="M61" i="15"/>
  <c r="M48" i="15"/>
  <c r="M47" i="16"/>
  <c r="M48" i="16"/>
  <c r="M54" i="16"/>
  <c r="M70" i="15"/>
  <c r="M65" i="15"/>
  <c r="M54" i="15"/>
  <c r="M50" i="16"/>
  <c r="M41" i="16"/>
  <c r="M52" i="16"/>
  <c r="M74" i="16"/>
  <c r="M43" i="16"/>
  <c r="M75" i="16"/>
  <c r="M72" i="15"/>
  <c r="M53" i="15"/>
  <c r="M47" i="15"/>
  <c r="N26" i="14"/>
  <c r="M33" i="16"/>
  <c r="M27" i="16"/>
  <c r="M43" i="15"/>
  <c r="M37" i="15"/>
  <c r="M40" i="15"/>
  <c r="M28" i="15"/>
  <c r="N31" i="14"/>
  <c r="N29" i="14"/>
  <c r="N30" i="14"/>
  <c r="N27" i="14"/>
  <c r="M30" i="16"/>
  <c r="M28" i="16"/>
  <c r="M31" i="16"/>
  <c r="M25" i="16"/>
  <c r="M27" i="15"/>
  <c r="M31" i="15"/>
  <c r="N28" i="14"/>
  <c r="M26" i="16"/>
  <c r="M32" i="16"/>
  <c r="M32" i="15"/>
  <c r="M33" i="15"/>
  <c r="M30" i="15"/>
  <c r="M26" i="15"/>
  <c r="M25" i="15"/>
  <c r="M29" i="15"/>
  <c r="M70" i="16"/>
  <c r="M73" i="16"/>
  <c r="M72" i="16"/>
  <c r="M69" i="16"/>
  <c r="M65" i="16"/>
  <c r="M59" i="16"/>
  <c r="M62" i="16"/>
  <c r="M64" i="16"/>
  <c r="M66" i="16"/>
  <c r="M51" i="16"/>
  <c r="M49" i="16"/>
  <c r="M37" i="16"/>
  <c r="M69" i="15"/>
  <c r="M74" i="15"/>
  <c r="M63" i="15"/>
  <c r="M51" i="15"/>
  <c r="M38" i="15"/>
  <c r="M39" i="15"/>
  <c r="N32" i="14"/>
  <c r="N33" i="14"/>
  <c r="N25" i="14"/>
  <c r="M53" i="16"/>
  <c r="M59" i="15"/>
  <c r="M61" i="16"/>
  <c r="M77" i="15"/>
  <c r="M58" i="16"/>
  <c r="M50" i="15"/>
  <c r="M66" i="15"/>
  <c r="M44" i="15"/>
  <c r="M36" i="16"/>
  <c r="M41" i="15"/>
  <c r="M49" i="15"/>
  <c r="M58" i="15"/>
  <c r="M62" i="15"/>
  <c r="M73" i="15"/>
  <c r="M42" i="15"/>
  <c r="M64" i="15"/>
  <c r="M55" i="15"/>
  <c r="M36" i="15"/>
  <c r="M38" i="16"/>
  <c r="M40" i="16"/>
  <c r="M42" i="16"/>
  <c r="M44" i="16"/>
  <c r="M55" i="16"/>
  <c r="M60" i="15"/>
  <c r="M63" i="16"/>
  <c r="D37" i="27"/>
  <c r="D36" i="27"/>
  <c r="D18" i="26"/>
  <c r="D17" i="26"/>
  <c r="D16" i="25"/>
  <c r="E13" i="23"/>
  <c r="H33" i="22"/>
  <c r="F33" i="22"/>
  <c r="T79" i="20"/>
  <c r="S79" i="20"/>
  <c r="R79" i="20"/>
  <c r="Q79" i="20"/>
  <c r="M79" i="20"/>
  <c r="K79" i="20"/>
  <c r="E11" i="17"/>
  <c r="L23" i="16"/>
  <c r="I23" i="16"/>
  <c r="L23" i="15"/>
  <c r="I23" i="15"/>
  <c r="N23" i="14"/>
  <c r="K23" i="14"/>
  <c r="H23" i="14"/>
  <c r="E23" i="14"/>
  <c r="N23" i="12"/>
  <c r="O23" i="12" s="1"/>
  <c r="N23" i="13"/>
  <c r="O23" i="13" s="1"/>
  <c r="N23" i="11"/>
  <c r="O23" i="11" s="1"/>
  <c r="N23" i="10"/>
  <c r="O23" i="10" s="1"/>
  <c r="M13" i="9"/>
  <c r="K13" i="9"/>
  <c r="E28" i="8"/>
  <c r="M22" i="7"/>
  <c r="L22" i="7"/>
  <c r="K22" i="7"/>
  <c r="J22" i="7"/>
  <c r="H22" i="7"/>
  <c r="G22" i="7"/>
  <c r="F22" i="7"/>
  <c r="E22" i="7"/>
  <c r="D22" i="7"/>
  <c r="C22" i="7"/>
  <c r="N21" i="7"/>
  <c r="I21" i="7"/>
  <c r="N20" i="7"/>
  <c r="I20" i="7"/>
  <c r="N19" i="7"/>
  <c r="I19" i="7"/>
  <c r="N18" i="7"/>
  <c r="I18" i="7"/>
  <c r="N17" i="7"/>
  <c r="I17" i="7"/>
  <c r="AF31" i="6"/>
  <c r="Y31" i="6"/>
  <c r="S31" i="6"/>
  <c r="F31" i="6"/>
  <c r="AG31" i="6" s="1"/>
  <c r="AF30" i="6"/>
  <c r="Y30" i="6"/>
  <c r="S30" i="6"/>
  <c r="F30" i="6"/>
  <c r="L30" i="6" s="1"/>
  <c r="AF29" i="6"/>
  <c r="Y29" i="6"/>
  <c r="S29" i="6"/>
  <c r="F29" i="6"/>
  <c r="L29" i="6" s="1"/>
  <c r="AF28" i="6"/>
  <c r="Y28" i="6"/>
  <c r="S28" i="6"/>
  <c r="F28" i="6"/>
  <c r="AG28" i="6" s="1"/>
  <c r="AF27" i="6"/>
  <c r="Y27" i="6"/>
  <c r="S27" i="6"/>
  <c r="F27" i="6"/>
  <c r="AG27" i="6" s="1"/>
  <c r="AF26" i="6"/>
  <c r="Y26" i="6"/>
  <c r="S26" i="6"/>
  <c r="F26" i="6"/>
  <c r="AG26" i="6" s="1"/>
  <c r="AF25" i="6"/>
  <c r="Y25" i="6"/>
  <c r="S25" i="6"/>
  <c r="F25" i="6"/>
  <c r="L25" i="6" s="1"/>
  <c r="AF24" i="6"/>
  <c r="Y24" i="6"/>
  <c r="S24" i="6"/>
  <c r="F24" i="6"/>
  <c r="AG24" i="6" s="1"/>
  <c r="AF23" i="6"/>
  <c r="Y23" i="6"/>
  <c r="S23" i="6"/>
  <c r="F23" i="6"/>
  <c r="AG23" i="6" s="1"/>
  <c r="AE21" i="6"/>
  <c r="AD21" i="6"/>
  <c r="AC21" i="6"/>
  <c r="AB21" i="6"/>
  <c r="AA21" i="6"/>
  <c r="Z21" i="6"/>
  <c r="X21" i="6"/>
  <c r="W21" i="6"/>
  <c r="V21" i="6"/>
  <c r="U21" i="6"/>
  <c r="T21" i="6"/>
  <c r="R21" i="6"/>
  <c r="Q21" i="6"/>
  <c r="P21" i="6"/>
  <c r="O21" i="6"/>
  <c r="N21" i="6"/>
  <c r="M21" i="6"/>
  <c r="K21" i="6"/>
  <c r="J21" i="6"/>
  <c r="I21" i="6"/>
  <c r="H21" i="6"/>
  <c r="G21" i="6"/>
  <c r="E21" i="6"/>
  <c r="D21" i="6"/>
  <c r="C21" i="6"/>
  <c r="AE31" i="5"/>
  <c r="F31" i="5"/>
  <c r="M31" i="5" s="1"/>
  <c r="AE30" i="5"/>
  <c r="F30" i="5"/>
  <c r="M30" i="5" s="1"/>
  <c r="AE29" i="5"/>
  <c r="F29" i="5"/>
  <c r="M29" i="5" s="1"/>
  <c r="AE28" i="5"/>
  <c r="F28" i="5"/>
  <c r="M28" i="5" s="1"/>
  <c r="AE27" i="5"/>
  <c r="F27" i="5"/>
  <c r="M27" i="5" s="1"/>
  <c r="AE26" i="5"/>
  <c r="F26" i="5"/>
  <c r="M26" i="5" s="1"/>
  <c r="AE25" i="5"/>
  <c r="F25" i="5"/>
  <c r="M25" i="5" s="1"/>
  <c r="AE24" i="5"/>
  <c r="F24" i="5"/>
  <c r="M24" i="5" s="1"/>
  <c r="AE23" i="5"/>
  <c r="F23" i="5"/>
  <c r="M23" i="5" s="1"/>
  <c r="AD21" i="5"/>
  <c r="AC21" i="5"/>
  <c r="AB21" i="5"/>
  <c r="AA21" i="5"/>
  <c r="Z21" i="5"/>
  <c r="Y21" i="5"/>
  <c r="X21" i="5"/>
  <c r="V21" i="5"/>
  <c r="U21" i="5"/>
  <c r="S21" i="5"/>
  <c r="R21" i="5"/>
  <c r="Q21" i="5"/>
  <c r="P21" i="5"/>
  <c r="O21" i="5"/>
  <c r="N21" i="5"/>
  <c r="L21" i="5"/>
  <c r="K21" i="5"/>
  <c r="J21" i="5"/>
  <c r="I21" i="5"/>
  <c r="H21" i="5"/>
  <c r="G21" i="5"/>
  <c r="E21" i="5"/>
  <c r="D21" i="5"/>
  <c r="C21" i="5"/>
  <c r="E30" i="4"/>
  <c r="E29" i="4"/>
  <c r="E28" i="4"/>
  <c r="E27" i="4"/>
  <c r="E26" i="4"/>
  <c r="E25" i="4"/>
  <c r="E24" i="4"/>
  <c r="E23" i="4"/>
  <c r="E22" i="4"/>
  <c r="F20" i="4"/>
  <c r="D20" i="4"/>
  <c r="C20" i="4"/>
  <c r="V37" i="3"/>
  <c r="U37" i="3"/>
  <c r="T37" i="3"/>
  <c r="S37" i="3"/>
  <c r="Q37" i="3"/>
  <c r="P37" i="3"/>
  <c r="K37" i="3"/>
  <c r="E37" i="3"/>
  <c r="V36" i="3"/>
  <c r="U36" i="3"/>
  <c r="T36" i="3"/>
  <c r="S36" i="3"/>
  <c r="Q36" i="3"/>
  <c r="P36" i="3"/>
  <c r="K36" i="3"/>
  <c r="E36" i="3"/>
  <c r="V35" i="3"/>
  <c r="U35" i="3"/>
  <c r="T35" i="3"/>
  <c r="S35" i="3"/>
  <c r="Q35" i="3"/>
  <c r="P35" i="3"/>
  <c r="K35" i="3"/>
  <c r="E35" i="3"/>
  <c r="V34" i="3"/>
  <c r="U34" i="3"/>
  <c r="T34" i="3"/>
  <c r="S34" i="3"/>
  <c r="Q34" i="3"/>
  <c r="P34" i="3"/>
  <c r="K34" i="3"/>
  <c r="E34" i="3"/>
  <c r="V33" i="3"/>
  <c r="U33" i="3"/>
  <c r="T33" i="3"/>
  <c r="S33" i="3"/>
  <c r="Q33" i="3"/>
  <c r="P33" i="3"/>
  <c r="K33" i="3"/>
  <c r="E33" i="3"/>
  <c r="V32" i="3"/>
  <c r="U32" i="3"/>
  <c r="T32" i="3"/>
  <c r="S32" i="3"/>
  <c r="Q32" i="3"/>
  <c r="P32" i="3"/>
  <c r="K32" i="3"/>
  <c r="E32" i="3"/>
  <c r="V31" i="3"/>
  <c r="U31" i="3"/>
  <c r="T31" i="3"/>
  <c r="S31" i="3"/>
  <c r="Q31" i="3"/>
  <c r="P31" i="3"/>
  <c r="K31" i="3"/>
  <c r="E31" i="3"/>
  <c r="V30" i="3"/>
  <c r="U30" i="3"/>
  <c r="T30" i="3"/>
  <c r="S30" i="3"/>
  <c r="Q30" i="3"/>
  <c r="P30" i="3"/>
  <c r="K30" i="3"/>
  <c r="E30" i="3"/>
  <c r="V29" i="3"/>
  <c r="U29" i="3"/>
  <c r="T29" i="3"/>
  <c r="S29" i="3"/>
  <c r="Q29" i="3"/>
  <c r="P29" i="3"/>
  <c r="K29" i="3"/>
  <c r="E29" i="3"/>
  <c r="V28" i="3"/>
  <c r="U28" i="3"/>
  <c r="T28" i="3"/>
  <c r="S28" i="3"/>
  <c r="Q28" i="3"/>
  <c r="P28" i="3"/>
  <c r="K28" i="3"/>
  <c r="E28" i="3"/>
  <c r="O26" i="3"/>
  <c r="N26" i="3"/>
  <c r="M26" i="3"/>
  <c r="L26" i="3"/>
  <c r="J26" i="3"/>
  <c r="I26" i="3"/>
  <c r="D26" i="3"/>
  <c r="C26" i="3"/>
  <c r="U36" i="2"/>
  <c r="T36" i="2"/>
  <c r="S36" i="2"/>
  <c r="K36" i="2"/>
  <c r="J36" i="2"/>
  <c r="I36" i="2"/>
  <c r="E36" i="2"/>
  <c r="D36" i="2"/>
  <c r="C36" i="2"/>
  <c r="U35" i="2"/>
  <c r="T35" i="2"/>
  <c r="S35" i="2"/>
  <c r="K35" i="2"/>
  <c r="J35" i="2"/>
  <c r="I35" i="2"/>
  <c r="E35" i="2"/>
  <c r="D35" i="2"/>
  <c r="C35" i="2"/>
  <c r="U34" i="2"/>
  <c r="T34" i="2"/>
  <c r="S34" i="2"/>
  <c r="K34" i="2"/>
  <c r="J34" i="2"/>
  <c r="I34" i="2"/>
  <c r="E34" i="2"/>
  <c r="D34" i="2"/>
  <c r="C34" i="2"/>
  <c r="U33" i="2"/>
  <c r="T33" i="2"/>
  <c r="S33" i="2"/>
  <c r="K33" i="2"/>
  <c r="J33" i="2"/>
  <c r="I33" i="2"/>
  <c r="E33" i="2"/>
  <c r="D33" i="2"/>
  <c r="C33" i="2"/>
  <c r="U32" i="2"/>
  <c r="T32" i="2"/>
  <c r="S32" i="2"/>
  <c r="K32" i="2"/>
  <c r="J32" i="2"/>
  <c r="I32" i="2"/>
  <c r="E32" i="2"/>
  <c r="D32" i="2"/>
  <c r="C32" i="2"/>
  <c r="U31" i="2"/>
  <c r="T31" i="2"/>
  <c r="S31" i="2"/>
  <c r="K31" i="2"/>
  <c r="J31" i="2"/>
  <c r="I31" i="2"/>
  <c r="E31" i="2"/>
  <c r="D31" i="2"/>
  <c r="C31" i="2"/>
  <c r="U30" i="2"/>
  <c r="T30" i="2"/>
  <c r="S30" i="2"/>
  <c r="K30" i="2"/>
  <c r="J30" i="2"/>
  <c r="I30" i="2"/>
  <c r="E30" i="2"/>
  <c r="D30" i="2"/>
  <c r="C30" i="2"/>
  <c r="U29" i="2"/>
  <c r="T29" i="2"/>
  <c r="S29" i="2"/>
  <c r="K29" i="2"/>
  <c r="J29" i="2"/>
  <c r="I29" i="2"/>
  <c r="E29" i="2"/>
  <c r="D29" i="2"/>
  <c r="C29" i="2"/>
  <c r="U28" i="2"/>
  <c r="T28" i="2"/>
  <c r="S28" i="2"/>
  <c r="K28" i="2"/>
  <c r="J28" i="2"/>
  <c r="I28" i="2"/>
  <c r="E28" i="2"/>
  <c r="D28" i="2"/>
  <c r="C28" i="2"/>
  <c r="U27" i="2"/>
  <c r="T27" i="2"/>
  <c r="S27" i="2"/>
  <c r="K27" i="2"/>
  <c r="J27" i="2"/>
  <c r="I27" i="2"/>
  <c r="E27" i="2"/>
  <c r="D27" i="2"/>
  <c r="C27" i="2"/>
  <c r="O25" i="2"/>
  <c r="N25" i="2"/>
  <c r="M25" i="2"/>
  <c r="L25" i="2"/>
  <c r="H25" i="2"/>
  <c r="G25" i="2"/>
  <c r="F25" i="2"/>
  <c r="P26" i="3" l="1"/>
  <c r="P32" i="2"/>
  <c r="N22" i="7"/>
  <c r="U26" i="3"/>
  <c r="R36" i="2"/>
  <c r="R32" i="2"/>
  <c r="Q34" i="2"/>
  <c r="S21" i="6"/>
  <c r="L27" i="6"/>
  <c r="AG25" i="6"/>
  <c r="M23" i="15"/>
  <c r="L24" i="6"/>
  <c r="Y21" i="6"/>
  <c r="AF21" i="6"/>
  <c r="AG30" i="6"/>
  <c r="R31" i="3"/>
  <c r="R35" i="3"/>
  <c r="R36" i="3"/>
  <c r="R37" i="3"/>
  <c r="Q32" i="2"/>
  <c r="P33" i="2"/>
  <c r="P27" i="2"/>
  <c r="T25" i="2"/>
  <c r="J25" i="2"/>
  <c r="Q27" i="2"/>
  <c r="R33" i="2"/>
  <c r="P34" i="2"/>
  <c r="R27" i="2"/>
  <c r="Q28" i="2"/>
  <c r="R31" i="2"/>
  <c r="P28" i="2"/>
  <c r="P29" i="2"/>
  <c r="H34" i="22"/>
  <c r="M23" i="16"/>
  <c r="F20" i="8"/>
  <c r="F16" i="8"/>
  <c r="F27" i="8"/>
  <c r="F19" i="8"/>
  <c r="F26" i="8"/>
  <c r="F18" i="8"/>
  <c r="F11" i="8"/>
  <c r="F24" i="8"/>
  <c r="F25" i="8"/>
  <c r="F17" i="8"/>
  <c r="F23" i="8"/>
  <c r="F15" i="8"/>
  <c r="F22" i="8"/>
  <c r="F14" i="8"/>
  <c r="F21" i="8"/>
  <c r="F13" i="8"/>
  <c r="F12" i="8"/>
  <c r="I22" i="7"/>
  <c r="L23" i="6"/>
  <c r="L26" i="6"/>
  <c r="L28" i="6"/>
  <c r="AG29" i="6"/>
  <c r="L31" i="6"/>
  <c r="F21" i="6"/>
  <c r="AG21" i="6" s="1"/>
  <c r="AE21" i="5"/>
  <c r="F21" i="5"/>
  <c r="M21" i="5" s="1"/>
  <c r="E20" i="4"/>
  <c r="V26" i="3"/>
  <c r="K26" i="3"/>
  <c r="R34" i="3"/>
  <c r="R32" i="3"/>
  <c r="T26" i="3"/>
  <c r="S26" i="3"/>
  <c r="Q26" i="3"/>
  <c r="R33" i="3"/>
  <c r="E26" i="3"/>
  <c r="R29" i="3"/>
  <c r="R30" i="3"/>
  <c r="R28" i="3"/>
  <c r="I25" i="2"/>
  <c r="R28" i="2"/>
  <c r="P36" i="2"/>
  <c r="Q29" i="2"/>
  <c r="P30" i="2"/>
  <c r="R34" i="2"/>
  <c r="P35" i="2"/>
  <c r="R29" i="2"/>
  <c r="Q30" i="2"/>
  <c r="P31" i="2"/>
  <c r="Q35" i="2"/>
  <c r="K25" i="2"/>
  <c r="R30" i="2"/>
  <c r="Q31" i="2"/>
  <c r="R35" i="2"/>
  <c r="Q36" i="2"/>
  <c r="U25" i="2"/>
  <c r="Q33" i="2"/>
  <c r="S25" i="2"/>
  <c r="V25" i="2"/>
  <c r="C25" i="2"/>
  <c r="D25" i="2"/>
  <c r="E25" i="2"/>
  <c r="D31" i="4"/>
  <c r="F31" i="4"/>
  <c r="R25" i="2" l="1"/>
  <c r="Q25" i="2"/>
  <c r="P25" i="2"/>
  <c r="L21" i="6"/>
  <c r="R26" i="3"/>
  <c r="J18" i="26"/>
  <c r="I18" i="26"/>
  <c r="H18" i="26"/>
  <c r="G18" i="26"/>
  <c r="F18" i="26"/>
  <c r="E18" i="26"/>
  <c r="J17" i="26"/>
  <c r="I17" i="26"/>
  <c r="H17" i="26"/>
  <c r="G17" i="26"/>
  <c r="F17" i="26"/>
  <c r="E17" i="26"/>
  <c r="V49" i="3" l="1"/>
  <c r="V48" i="3"/>
  <c r="V47" i="3"/>
  <c r="V46" i="3"/>
  <c r="V45" i="3"/>
  <c r="V44" i="3"/>
  <c r="V43" i="3"/>
  <c r="V42" i="3"/>
  <c r="V41" i="3"/>
  <c r="U49" i="3"/>
  <c r="U48" i="3"/>
  <c r="U47" i="3"/>
  <c r="U46" i="3"/>
  <c r="U45" i="3"/>
  <c r="U44" i="3"/>
  <c r="U43" i="3"/>
  <c r="U42" i="3"/>
  <c r="U41" i="3"/>
  <c r="U40" i="3"/>
  <c r="T49" i="3"/>
  <c r="T48" i="3"/>
  <c r="T47" i="3"/>
  <c r="T46" i="3"/>
  <c r="T45" i="3"/>
  <c r="T44" i="3"/>
  <c r="T43" i="3"/>
  <c r="T42" i="3"/>
  <c r="T41" i="3"/>
  <c r="T40" i="3"/>
  <c r="S49" i="3"/>
  <c r="S48" i="3"/>
  <c r="S47" i="3"/>
  <c r="S46" i="3"/>
  <c r="S45" i="3"/>
  <c r="S44" i="3"/>
  <c r="S43" i="3"/>
  <c r="S42" i="3"/>
  <c r="S41" i="3"/>
  <c r="S40" i="3"/>
  <c r="Q49" i="3"/>
  <c r="Q48" i="3"/>
  <c r="Q47" i="3"/>
  <c r="Q46" i="3"/>
  <c r="Q45" i="3"/>
  <c r="Q44" i="3"/>
  <c r="Q43" i="3"/>
  <c r="Q42" i="3"/>
  <c r="Q41" i="3"/>
  <c r="Q40" i="3"/>
  <c r="P49" i="3"/>
  <c r="P48" i="3"/>
  <c r="P47" i="3"/>
  <c r="P46" i="3"/>
  <c r="P45" i="3"/>
  <c r="P44" i="3"/>
  <c r="P43" i="3"/>
  <c r="P42" i="3"/>
  <c r="P41" i="3"/>
  <c r="V40" i="3" l="1"/>
  <c r="P40" i="3"/>
  <c r="R40" i="3" s="1"/>
  <c r="L79" i="16" l="1"/>
  <c r="I79" i="16"/>
  <c r="L78" i="16"/>
  <c r="I78" i="16"/>
  <c r="L67" i="16"/>
  <c r="I67" i="16"/>
  <c r="L56" i="16"/>
  <c r="I56" i="16"/>
  <c r="L45" i="16"/>
  <c r="I45" i="16"/>
  <c r="L34" i="16"/>
  <c r="E34" i="16"/>
  <c r="I34" i="16" s="1"/>
  <c r="L79" i="15"/>
  <c r="I79" i="15"/>
  <c r="M79" i="15" s="1"/>
  <c r="L78" i="15"/>
  <c r="I78" i="15"/>
  <c r="L67" i="15"/>
  <c r="I67" i="15"/>
  <c r="M67" i="15" s="1"/>
  <c r="L56" i="15"/>
  <c r="I56" i="15"/>
  <c r="L45" i="15"/>
  <c r="I45" i="15"/>
  <c r="L34" i="15"/>
  <c r="I34" i="15"/>
  <c r="M34" i="16" l="1"/>
  <c r="M45" i="16"/>
  <c r="M79" i="16"/>
  <c r="M56" i="15"/>
  <c r="M78" i="15"/>
  <c r="M34" i="15"/>
  <c r="M67" i="16"/>
  <c r="M78" i="16"/>
  <c r="M56" i="16"/>
  <c r="M45" i="15"/>
  <c r="N79" i="14"/>
  <c r="K79" i="14"/>
  <c r="H79" i="14"/>
  <c r="E79" i="14"/>
  <c r="N78" i="14"/>
  <c r="K78" i="14"/>
  <c r="H78" i="14"/>
  <c r="E78" i="14"/>
  <c r="N67" i="14"/>
  <c r="K67" i="14"/>
  <c r="H67" i="14"/>
  <c r="E67" i="14"/>
  <c r="N56" i="14"/>
  <c r="K56" i="14"/>
  <c r="H56" i="14"/>
  <c r="E56" i="14"/>
  <c r="N45" i="14"/>
  <c r="K45" i="14"/>
  <c r="H45" i="14"/>
  <c r="E45" i="14"/>
  <c r="N34" i="14"/>
  <c r="K34" i="14"/>
  <c r="H34" i="14"/>
  <c r="E34" i="14"/>
  <c r="N79" i="13" l="1"/>
  <c r="O79" i="13" s="1"/>
  <c r="N78" i="13"/>
  <c r="O78" i="13" s="1"/>
  <c r="N67" i="13"/>
  <c r="O67" i="13" s="1"/>
  <c r="N56" i="13"/>
  <c r="O56" i="13" s="1"/>
  <c r="N45" i="13"/>
  <c r="O45" i="13" s="1"/>
  <c r="N34" i="13"/>
  <c r="O34" i="13" s="1"/>
  <c r="N79" i="12"/>
  <c r="O79" i="12" s="1"/>
  <c r="N78" i="12"/>
  <c r="O78" i="12" s="1"/>
  <c r="N67" i="12"/>
  <c r="O67" i="12" s="1"/>
  <c r="N56" i="12"/>
  <c r="O56" i="12" s="1"/>
  <c r="N45" i="12"/>
  <c r="O45" i="12" s="1"/>
  <c r="N34" i="12"/>
  <c r="O34" i="12" s="1"/>
  <c r="N34" i="11"/>
  <c r="O34" i="11" s="1"/>
  <c r="N34" i="10"/>
  <c r="O34" i="10" s="1"/>
  <c r="D14" i="9"/>
  <c r="E12" i="17" l="1"/>
  <c r="E13" i="17"/>
  <c r="I82" i="18" l="1"/>
  <c r="I78" i="18"/>
  <c r="I16" i="18"/>
  <c r="I82" i="19"/>
  <c r="I78" i="19"/>
  <c r="I16" i="19"/>
  <c r="M83" i="20"/>
  <c r="L83" i="20"/>
  <c r="L79" i="20"/>
  <c r="M17" i="20"/>
  <c r="M85" i="20" s="1"/>
  <c r="L17" i="20"/>
  <c r="I84" i="18" l="1"/>
  <c r="L85" i="20"/>
  <c r="I84" i="19"/>
  <c r="N79" i="11"/>
  <c r="N78" i="11"/>
  <c r="N67" i="11"/>
  <c r="N56" i="11"/>
  <c r="N45" i="11"/>
  <c r="O45" i="11" s="1"/>
  <c r="I84" i="21"/>
  <c r="I80" i="21"/>
  <c r="I18" i="21"/>
  <c r="N31" i="22"/>
  <c r="N33" i="22" s="1"/>
  <c r="L31" i="22"/>
  <c r="L33" i="22" s="1"/>
  <c r="N45" i="10"/>
  <c r="O45" i="10" s="1"/>
  <c r="M15" i="9"/>
  <c r="J15" i="9"/>
  <c r="G15" i="9"/>
  <c r="D15" i="9"/>
  <c r="K15" i="9" s="1"/>
  <c r="I86" i="21" l="1"/>
  <c r="N34" i="22"/>
  <c r="I12" i="8"/>
  <c r="I28" i="8" s="1"/>
  <c r="I13" i="23"/>
  <c r="Z20" i="24"/>
  <c r="Z19" i="24"/>
  <c r="Z18" i="24"/>
  <c r="Z17" i="24"/>
  <c r="Z10" i="24"/>
  <c r="F16" i="25"/>
  <c r="E36" i="27"/>
  <c r="J20" i="8" l="1"/>
  <c r="J24" i="8"/>
  <c r="J23" i="8"/>
  <c r="J14" i="8"/>
  <c r="J27" i="8"/>
  <c r="J19" i="8"/>
  <c r="J26" i="8"/>
  <c r="J18" i="8"/>
  <c r="J11" i="8"/>
  <c r="J17" i="8"/>
  <c r="J16" i="8"/>
  <c r="J15" i="8"/>
  <c r="J22" i="8"/>
  <c r="J25" i="8"/>
  <c r="J21" i="8"/>
  <c r="J13" i="8"/>
  <c r="J12" i="8"/>
  <c r="M28" i="7"/>
  <c r="L28" i="7"/>
  <c r="K28" i="7"/>
  <c r="J28" i="7"/>
  <c r="N27" i="7"/>
  <c r="N26" i="7"/>
  <c r="N25" i="7"/>
  <c r="N24" i="7"/>
  <c r="N23" i="7"/>
  <c r="N28" i="7" s="1"/>
  <c r="H28" i="7"/>
  <c r="G28" i="7"/>
  <c r="F28" i="7"/>
  <c r="E28" i="7"/>
  <c r="D28" i="7"/>
  <c r="C34" i="7"/>
  <c r="C40" i="7"/>
  <c r="C46" i="7"/>
  <c r="C52" i="7"/>
  <c r="C28" i="7"/>
  <c r="I24" i="7"/>
  <c r="I25" i="7"/>
  <c r="I26" i="7"/>
  <c r="I27" i="7"/>
  <c r="I23" i="7"/>
  <c r="R41" i="3"/>
  <c r="R42" i="3"/>
  <c r="R43" i="3"/>
  <c r="R44" i="3"/>
  <c r="R45" i="3"/>
  <c r="R46" i="3"/>
  <c r="R47" i="3"/>
  <c r="R48" i="3"/>
  <c r="R49" i="3"/>
  <c r="K41" i="3"/>
  <c r="K42" i="3"/>
  <c r="K43" i="3"/>
  <c r="K44" i="3"/>
  <c r="K45" i="3"/>
  <c r="K46" i="3"/>
  <c r="K47" i="3"/>
  <c r="K48" i="3"/>
  <c r="K49" i="3"/>
  <c r="K40" i="3"/>
  <c r="E41" i="3"/>
  <c r="E42" i="3"/>
  <c r="E43" i="3"/>
  <c r="E44" i="3"/>
  <c r="E45" i="3"/>
  <c r="E46" i="3"/>
  <c r="E47" i="3"/>
  <c r="E48" i="3"/>
  <c r="E49" i="3"/>
  <c r="E40" i="3"/>
  <c r="I28" i="7" l="1"/>
  <c r="E48" i="2" l="1"/>
  <c r="D48" i="2"/>
  <c r="C48" i="2"/>
  <c r="O37" i="2"/>
  <c r="N37" i="2"/>
  <c r="M37" i="2"/>
  <c r="L37" i="2"/>
  <c r="Z47" i="28" l="1"/>
  <c r="Y47" i="28"/>
  <c r="I47" i="28"/>
  <c r="E14" i="28"/>
  <c r="F14" i="28"/>
  <c r="D39" i="28"/>
  <c r="G37" i="27"/>
  <c r="H37" i="27"/>
  <c r="I37" i="27"/>
  <c r="J37" i="27"/>
  <c r="E37" i="27"/>
  <c r="G36" i="27"/>
  <c r="H36" i="27"/>
  <c r="I36" i="27"/>
  <c r="J36" i="27"/>
  <c r="G16" i="25"/>
  <c r="H16" i="25"/>
  <c r="I16" i="25"/>
  <c r="J16" i="25"/>
  <c r="AX20" i="24"/>
  <c r="AX19" i="24"/>
  <c r="AX18" i="24"/>
  <c r="AX17" i="24"/>
  <c r="AR20" i="24"/>
  <c r="AR19" i="24"/>
  <c r="AR18" i="24"/>
  <c r="AR17" i="24"/>
  <c r="AL20" i="24"/>
  <c r="AL19" i="24"/>
  <c r="AL18" i="24"/>
  <c r="AL17" i="24"/>
  <c r="AF20" i="24"/>
  <c r="AF19" i="24"/>
  <c r="AF18" i="24"/>
  <c r="AF17" i="24"/>
  <c r="AX10" i="24"/>
  <c r="AR10" i="24"/>
  <c r="AL10" i="24"/>
  <c r="AF10" i="24"/>
  <c r="T10" i="24"/>
  <c r="Q13" i="23"/>
  <c r="O13" i="23"/>
  <c r="M13" i="23"/>
  <c r="K13" i="23"/>
  <c r="G13" i="23"/>
  <c r="Z33" i="22"/>
  <c r="Z34" i="22" s="1"/>
  <c r="X33" i="22"/>
  <c r="W33" i="22"/>
  <c r="U33" i="22"/>
  <c r="T33" i="22"/>
  <c r="T34" i="22" s="1"/>
  <c r="R33" i="22"/>
  <c r="Q33" i="22"/>
  <c r="O33" i="22"/>
  <c r="J86" i="21"/>
  <c r="J84" i="21"/>
  <c r="K84" i="21"/>
  <c r="L84" i="21"/>
  <c r="M84" i="21"/>
  <c r="H84" i="21"/>
  <c r="J80" i="21"/>
  <c r="K80" i="21"/>
  <c r="L80" i="21"/>
  <c r="M80" i="21"/>
  <c r="H80" i="21"/>
  <c r="M18" i="21"/>
  <c r="K18" i="21"/>
  <c r="L18" i="21"/>
  <c r="J18" i="21"/>
  <c r="H18" i="21"/>
  <c r="N83" i="20"/>
  <c r="O83" i="20"/>
  <c r="P83" i="20"/>
  <c r="Q83" i="20"/>
  <c r="R83" i="20"/>
  <c r="S83" i="20"/>
  <c r="T83" i="20"/>
  <c r="U83" i="20"/>
  <c r="N79" i="20"/>
  <c r="O79" i="20"/>
  <c r="P79" i="20"/>
  <c r="U79" i="20"/>
  <c r="N17" i="20"/>
  <c r="O17" i="20"/>
  <c r="P17" i="20"/>
  <c r="Q17" i="20"/>
  <c r="Q85" i="20" s="1"/>
  <c r="R17" i="20"/>
  <c r="S17" i="20"/>
  <c r="S85" i="20" s="1"/>
  <c r="T17" i="20"/>
  <c r="U17" i="20"/>
  <c r="J82" i="19"/>
  <c r="K82" i="19"/>
  <c r="L82" i="19"/>
  <c r="M82" i="19"/>
  <c r="J78" i="19"/>
  <c r="K78" i="19"/>
  <c r="L78" i="19"/>
  <c r="M78" i="19"/>
  <c r="M16" i="19"/>
  <c r="K16" i="19"/>
  <c r="L16" i="19"/>
  <c r="J16" i="19"/>
  <c r="J82" i="18"/>
  <c r="K82" i="18"/>
  <c r="L82" i="18"/>
  <c r="M82" i="18"/>
  <c r="J78" i="18"/>
  <c r="K78" i="18"/>
  <c r="L78" i="18"/>
  <c r="M78" i="18"/>
  <c r="M16" i="18"/>
  <c r="J16" i="18"/>
  <c r="K16" i="18"/>
  <c r="L16" i="18"/>
  <c r="E17" i="17"/>
  <c r="E15" i="17"/>
  <c r="E16" i="17"/>
  <c r="E14" i="17"/>
  <c r="N56" i="10"/>
  <c r="N67" i="10"/>
  <c r="N78" i="10"/>
  <c r="N79" i="10"/>
  <c r="M18" i="9"/>
  <c r="M17" i="9"/>
  <c r="J19" i="9"/>
  <c r="M19" i="9" s="1"/>
  <c r="J18" i="9"/>
  <c r="J17" i="9"/>
  <c r="J16" i="9"/>
  <c r="M16" i="9" s="1"/>
  <c r="J14" i="9"/>
  <c r="M14" i="9" s="1"/>
  <c r="G19" i="9"/>
  <c r="G18" i="9"/>
  <c r="G17" i="9"/>
  <c r="G16" i="9"/>
  <c r="G14" i="9"/>
  <c r="D19" i="9"/>
  <c r="K19" i="9" s="1"/>
  <c r="D18" i="9"/>
  <c r="K18" i="9" s="1"/>
  <c r="D17" i="9"/>
  <c r="K17" i="9" s="1"/>
  <c r="D16" i="9"/>
  <c r="K16" i="9" s="1"/>
  <c r="J84" i="19" l="1"/>
  <c r="K84" i="19"/>
  <c r="L86" i="21"/>
  <c r="K86" i="21"/>
  <c r="M86" i="21"/>
  <c r="U85" i="20"/>
  <c r="T85" i="20"/>
  <c r="N85" i="20"/>
  <c r="R85" i="20"/>
  <c r="P85" i="20"/>
  <c r="O85" i="20"/>
  <c r="M84" i="19"/>
  <c r="L84" i="19"/>
  <c r="L84" i="18"/>
  <c r="K84" i="18"/>
  <c r="J84" i="18"/>
  <c r="M84" i="18"/>
  <c r="H86" i="21"/>
  <c r="K14" i="9"/>
  <c r="W35" i="22"/>
  <c r="T35" i="22"/>
  <c r="W34" i="22"/>
  <c r="Q34" i="22"/>
  <c r="AT22" i="8"/>
  <c r="AT14" i="8"/>
  <c r="AP24" i="8"/>
  <c r="AP16" i="8"/>
  <c r="AD23" i="8"/>
  <c r="AD22" i="8"/>
  <c r="AD15" i="8"/>
  <c r="AD14" i="8"/>
  <c r="Z24" i="8"/>
  <c r="Z16" i="8"/>
  <c r="N23" i="8"/>
  <c r="N22" i="8"/>
  <c r="N15" i="8"/>
  <c r="N14" i="8"/>
  <c r="AS28" i="8"/>
  <c r="AT21" i="8" s="1"/>
  <c r="AO28" i="8"/>
  <c r="AP23" i="8" s="1"/>
  <c r="AM28" i="8"/>
  <c r="AN24" i="8" s="1"/>
  <c r="AC28" i="8"/>
  <c r="AD21" i="8" s="1"/>
  <c r="Y28" i="8"/>
  <c r="Z23" i="8" s="1"/>
  <c r="W28" i="8"/>
  <c r="X24" i="8" s="1"/>
  <c r="M28" i="8"/>
  <c r="N21" i="8" s="1"/>
  <c r="BC12" i="8"/>
  <c r="BA12" i="8"/>
  <c r="AY12" i="8"/>
  <c r="AW12" i="8"/>
  <c r="AU12" i="8"/>
  <c r="AS12" i="8"/>
  <c r="AT12" i="8" s="1"/>
  <c r="AQ12" i="8"/>
  <c r="AO12" i="8"/>
  <c r="AP12" i="8" s="1"/>
  <c r="AM12" i="8"/>
  <c r="AN12" i="8" s="1"/>
  <c r="AK12" i="8"/>
  <c r="AK28" i="8" s="1"/>
  <c r="AI12" i="8"/>
  <c r="AI28" i="8" s="1"/>
  <c r="AG12" i="8"/>
  <c r="AG28" i="8" s="1"/>
  <c r="AE12" i="8"/>
  <c r="AC12" i="8"/>
  <c r="AD12" i="8" s="1"/>
  <c r="AA12" i="8"/>
  <c r="Y12" i="8"/>
  <c r="Z12" i="8" s="1"/>
  <c r="W12" i="8"/>
  <c r="X12" i="8" s="1"/>
  <c r="U12" i="8"/>
  <c r="U28" i="8" s="1"/>
  <c r="S12" i="8"/>
  <c r="S28" i="8" s="1"/>
  <c r="Q12" i="8"/>
  <c r="Q28" i="8" s="1"/>
  <c r="O12" i="8"/>
  <c r="M12" i="8"/>
  <c r="N12" i="8" s="1"/>
  <c r="K12" i="8"/>
  <c r="N57" i="7"/>
  <c r="N55" i="7"/>
  <c r="N56" i="7"/>
  <c r="N54" i="7"/>
  <c r="N53" i="7"/>
  <c r="L58" i="7"/>
  <c r="M58" i="7"/>
  <c r="K58" i="7"/>
  <c r="J58" i="7"/>
  <c r="E58" i="7"/>
  <c r="F58" i="7"/>
  <c r="G58" i="7"/>
  <c r="H58" i="7"/>
  <c r="D58" i="7"/>
  <c r="N51" i="7"/>
  <c r="N49" i="7"/>
  <c r="N50" i="7"/>
  <c r="N48" i="7"/>
  <c r="N47" i="7"/>
  <c r="L52" i="7"/>
  <c r="M52" i="7"/>
  <c r="K52" i="7"/>
  <c r="J52" i="7"/>
  <c r="G52" i="7"/>
  <c r="H52" i="7"/>
  <c r="E52" i="7"/>
  <c r="F52" i="7"/>
  <c r="D52" i="7"/>
  <c r="N45" i="7"/>
  <c r="N43" i="7"/>
  <c r="N44" i="7"/>
  <c r="N42" i="7"/>
  <c r="N41" i="7"/>
  <c r="L46" i="7"/>
  <c r="M46" i="7"/>
  <c r="K46" i="7"/>
  <c r="J46" i="7"/>
  <c r="E46" i="7"/>
  <c r="F46" i="7"/>
  <c r="G46" i="7"/>
  <c r="H46" i="7"/>
  <c r="D46" i="7"/>
  <c r="N39" i="7"/>
  <c r="N38" i="7"/>
  <c r="N37" i="7"/>
  <c r="N36" i="7"/>
  <c r="N35" i="7"/>
  <c r="M40" i="7"/>
  <c r="L40" i="7"/>
  <c r="K40" i="7"/>
  <c r="J40" i="7"/>
  <c r="I36" i="7"/>
  <c r="I35" i="7"/>
  <c r="H40" i="7"/>
  <c r="G40" i="7"/>
  <c r="F40" i="7"/>
  <c r="E40" i="7"/>
  <c r="D40" i="7"/>
  <c r="N33" i="7"/>
  <c r="N32" i="7"/>
  <c r="N31" i="7"/>
  <c r="N30" i="7"/>
  <c r="N29" i="7"/>
  <c r="M34" i="7"/>
  <c r="L34" i="7"/>
  <c r="K34" i="7"/>
  <c r="J34" i="7"/>
  <c r="I33" i="7"/>
  <c r="I32" i="7"/>
  <c r="I31" i="7"/>
  <c r="I30" i="7"/>
  <c r="I29" i="7"/>
  <c r="H34" i="7"/>
  <c r="G34" i="7"/>
  <c r="F34" i="7"/>
  <c r="E34" i="7"/>
  <c r="D34" i="7"/>
  <c r="AG47" i="6"/>
  <c r="AG46" i="6"/>
  <c r="AG45" i="6"/>
  <c r="AG44" i="6"/>
  <c r="R27" i="8" l="1"/>
  <c r="R19" i="8"/>
  <c r="R11" i="8"/>
  <c r="R26" i="8"/>
  <c r="R18" i="8"/>
  <c r="R21" i="8"/>
  <c r="R25" i="8"/>
  <c r="R17" i="8"/>
  <c r="R23" i="8"/>
  <c r="R24" i="8"/>
  <c r="R16" i="8"/>
  <c r="R15" i="8"/>
  <c r="R13" i="8"/>
  <c r="R22" i="8"/>
  <c r="R14" i="8"/>
  <c r="R12" i="8"/>
  <c r="R20" i="8"/>
  <c r="AH27" i="8"/>
  <c r="AH19" i="8"/>
  <c r="AH11" i="8"/>
  <c r="AH23" i="8"/>
  <c r="AH26" i="8"/>
  <c r="AH18" i="8"/>
  <c r="AH15" i="8"/>
  <c r="AH25" i="8"/>
  <c r="AH17" i="8"/>
  <c r="AH24" i="8"/>
  <c r="AH16" i="8"/>
  <c r="AH20" i="8"/>
  <c r="AH22" i="8"/>
  <c r="AH14" i="8"/>
  <c r="AH21" i="8"/>
  <c r="AH13" i="8"/>
  <c r="AH12" i="8"/>
  <c r="T26" i="8"/>
  <c r="T18" i="8"/>
  <c r="T22" i="8"/>
  <c r="T25" i="8"/>
  <c r="T17" i="8"/>
  <c r="T14" i="8"/>
  <c r="T24" i="8"/>
  <c r="T16" i="8"/>
  <c r="T12" i="8"/>
  <c r="T23" i="8"/>
  <c r="T15" i="8"/>
  <c r="T20" i="8"/>
  <c r="T27" i="8"/>
  <c r="T11" i="8"/>
  <c r="T21" i="8"/>
  <c r="T13" i="8"/>
  <c r="T19" i="8"/>
  <c r="V25" i="8"/>
  <c r="V17" i="8"/>
  <c r="V24" i="8"/>
  <c r="V16" i="8"/>
  <c r="V11" i="8"/>
  <c r="V23" i="8"/>
  <c r="V15" i="8"/>
  <c r="V21" i="8"/>
  <c r="V19" i="8"/>
  <c r="V22" i="8"/>
  <c r="V14" i="8"/>
  <c r="V13" i="8"/>
  <c r="V27" i="8"/>
  <c r="V26" i="8"/>
  <c r="V20" i="8"/>
  <c r="V18" i="8"/>
  <c r="AF12" i="8"/>
  <c r="AJ26" i="8"/>
  <c r="AJ18" i="8"/>
  <c r="AJ25" i="8"/>
  <c r="AJ17" i="8"/>
  <c r="AJ24" i="8"/>
  <c r="AJ16" i="8"/>
  <c r="AJ22" i="8"/>
  <c r="AJ23" i="8"/>
  <c r="AJ15" i="8"/>
  <c r="AJ14" i="8"/>
  <c r="AJ21" i="8"/>
  <c r="AJ13" i="8"/>
  <c r="AJ20" i="8"/>
  <c r="AJ12" i="8"/>
  <c r="AJ27" i="8"/>
  <c r="AJ19" i="8"/>
  <c r="AJ11" i="8"/>
  <c r="AL25" i="8"/>
  <c r="AL17" i="8"/>
  <c r="AL21" i="8"/>
  <c r="AL24" i="8"/>
  <c r="AL16" i="8"/>
  <c r="AL13" i="8"/>
  <c r="AL23" i="8"/>
  <c r="AL15" i="8"/>
  <c r="AL22" i="8"/>
  <c r="AL14" i="8"/>
  <c r="AL20" i="8"/>
  <c r="AL27" i="8"/>
  <c r="AL19" i="8"/>
  <c r="AL11" i="8"/>
  <c r="AL18" i="8"/>
  <c r="AL26" i="8"/>
  <c r="AN17" i="8"/>
  <c r="AN25" i="8"/>
  <c r="AN18" i="8"/>
  <c r="AN26" i="8"/>
  <c r="AP17" i="8"/>
  <c r="AP25" i="8"/>
  <c r="AT15" i="8"/>
  <c r="AT23" i="8"/>
  <c r="K28" i="8"/>
  <c r="AA28" i="8"/>
  <c r="AB12" i="8" s="1"/>
  <c r="AQ28" i="8"/>
  <c r="N16" i="8"/>
  <c r="N24" i="8"/>
  <c r="V12" i="8"/>
  <c r="X11" i="8"/>
  <c r="X19" i="8"/>
  <c r="X27" i="8"/>
  <c r="Z18" i="8"/>
  <c r="Z26" i="8"/>
  <c r="AD16" i="8"/>
  <c r="AD24" i="8"/>
  <c r="AL12" i="8"/>
  <c r="AN11" i="8"/>
  <c r="AN19" i="8"/>
  <c r="AN27" i="8"/>
  <c r="AP18" i="8"/>
  <c r="AP26" i="8"/>
  <c r="AT16" i="8"/>
  <c r="AT24" i="8"/>
  <c r="X17" i="8"/>
  <c r="X25" i="8"/>
  <c r="Z17" i="8"/>
  <c r="N25" i="8"/>
  <c r="Z11" i="8"/>
  <c r="AP27" i="8"/>
  <c r="AT25" i="8"/>
  <c r="O28" i="8"/>
  <c r="P12" i="8" s="1"/>
  <c r="AE28" i="8"/>
  <c r="N18" i="8"/>
  <c r="N26" i="8"/>
  <c r="X13" i="8"/>
  <c r="X21" i="8"/>
  <c r="Z20" i="8"/>
  <c r="AD18" i="8"/>
  <c r="AD26" i="8"/>
  <c r="AN13" i="8"/>
  <c r="AN21" i="8"/>
  <c r="AP20" i="8"/>
  <c r="AT18" i="8"/>
  <c r="AT26" i="8"/>
  <c r="X26" i="8"/>
  <c r="Z19" i="8"/>
  <c r="AD17" i="8"/>
  <c r="AN20" i="8"/>
  <c r="N11" i="8"/>
  <c r="N19" i="8"/>
  <c r="N27" i="8"/>
  <c r="X14" i="8"/>
  <c r="X22" i="8"/>
  <c r="Z13" i="8"/>
  <c r="Z21" i="8"/>
  <c r="AD11" i="8"/>
  <c r="AD19" i="8"/>
  <c r="AD27" i="8"/>
  <c r="AN14" i="8"/>
  <c r="AN22" i="8"/>
  <c r="AP13" i="8"/>
  <c r="AP21" i="8"/>
  <c r="AT11" i="8"/>
  <c r="AT19" i="8"/>
  <c r="AT27" i="8"/>
  <c r="X18" i="8"/>
  <c r="Z25" i="8"/>
  <c r="N17" i="8"/>
  <c r="AP19" i="8"/>
  <c r="AT17" i="8"/>
  <c r="N20" i="8"/>
  <c r="X15" i="8"/>
  <c r="X23" i="8"/>
  <c r="Z14" i="8"/>
  <c r="Z22" i="8"/>
  <c r="AD20" i="8"/>
  <c r="AN15" i="8"/>
  <c r="AN23" i="8"/>
  <c r="AP14" i="8"/>
  <c r="AP22" i="8"/>
  <c r="AT20" i="8"/>
  <c r="X20" i="8"/>
  <c r="Z27" i="8"/>
  <c r="AD25" i="8"/>
  <c r="AP11" i="8"/>
  <c r="N13" i="8"/>
  <c r="X16" i="8"/>
  <c r="Z15" i="8"/>
  <c r="AD13" i="8"/>
  <c r="AN16" i="8"/>
  <c r="AP15" i="8"/>
  <c r="AT13" i="8"/>
  <c r="N58" i="7"/>
  <c r="N52" i="7"/>
  <c r="N46" i="7"/>
  <c r="N40" i="7"/>
  <c r="N34" i="7"/>
  <c r="I34" i="7"/>
  <c r="AE42" i="5"/>
  <c r="AE41" i="5"/>
  <c r="AE40" i="5"/>
  <c r="AE39" i="5"/>
  <c r="AE38" i="5"/>
  <c r="AE37" i="5"/>
  <c r="AE36" i="5"/>
  <c r="AE35" i="5"/>
  <c r="AD32" i="5"/>
  <c r="AB32" i="5"/>
  <c r="Z32" i="5"/>
  <c r="Y32" i="5"/>
  <c r="X32" i="5"/>
  <c r="V32" i="5"/>
  <c r="U32" i="5"/>
  <c r="S32" i="5"/>
  <c r="Q32" i="5"/>
  <c r="P32" i="5"/>
  <c r="O32" i="5"/>
  <c r="N32" i="5"/>
  <c r="F44" i="5"/>
  <c r="M44" i="5" s="1"/>
  <c r="F45" i="5"/>
  <c r="M45" i="5" s="1"/>
  <c r="F46" i="5"/>
  <c r="M46" i="5" s="1"/>
  <c r="F47" i="5"/>
  <c r="M47" i="5" s="1"/>
  <c r="F34" i="5"/>
  <c r="F35" i="5"/>
  <c r="F36" i="5"/>
  <c r="F37" i="5"/>
  <c r="F38" i="5"/>
  <c r="F39" i="5"/>
  <c r="F40" i="5"/>
  <c r="F41" i="5"/>
  <c r="F42" i="5"/>
  <c r="AR22" i="8" l="1"/>
  <c r="AR14" i="8"/>
  <c r="AR18" i="8"/>
  <c r="AR21" i="8"/>
  <c r="AR13" i="8"/>
  <c r="AR20" i="8"/>
  <c r="AR26" i="8"/>
  <c r="AR27" i="8"/>
  <c r="AR19" i="8"/>
  <c r="AR11" i="8"/>
  <c r="AR25" i="8"/>
  <c r="AR17" i="8"/>
  <c r="AR24" i="8"/>
  <c r="AR16" i="8"/>
  <c r="AR23" i="8"/>
  <c r="AR15" i="8"/>
  <c r="L22" i="8"/>
  <c r="L14" i="8"/>
  <c r="L26" i="8"/>
  <c r="L21" i="8"/>
  <c r="L13" i="8"/>
  <c r="L20" i="8"/>
  <c r="L27" i="8"/>
  <c r="L19" i="8"/>
  <c r="L11" i="8"/>
  <c r="L18" i="8"/>
  <c r="L24" i="8"/>
  <c r="L16" i="8"/>
  <c r="L23" i="8"/>
  <c r="L15" i="8"/>
  <c r="L25" i="8"/>
  <c r="L17" i="8"/>
  <c r="AR12" i="8"/>
  <c r="AF20" i="8"/>
  <c r="AF27" i="8"/>
  <c r="AF19" i="8"/>
  <c r="AF11" i="8"/>
  <c r="AF14" i="8"/>
  <c r="AF26" i="8"/>
  <c r="AF18" i="8"/>
  <c r="AF24" i="8"/>
  <c r="AF25" i="8"/>
  <c r="AF17" i="8"/>
  <c r="AF16" i="8"/>
  <c r="AF22" i="8"/>
  <c r="AF23" i="8"/>
  <c r="AF15" i="8"/>
  <c r="AF21" i="8"/>
  <c r="AF13" i="8"/>
  <c r="L12" i="8"/>
  <c r="AB22" i="8"/>
  <c r="AB14" i="8"/>
  <c r="AB21" i="8"/>
  <c r="AB13" i="8"/>
  <c r="AB26" i="8"/>
  <c r="AB20" i="8"/>
  <c r="AB24" i="8"/>
  <c r="AB27" i="8"/>
  <c r="AB19" i="8"/>
  <c r="AB11" i="8"/>
  <c r="AB18" i="8"/>
  <c r="AB16" i="8"/>
  <c r="AB25" i="8"/>
  <c r="AB17" i="8"/>
  <c r="AB23" i="8"/>
  <c r="AB15" i="8"/>
  <c r="P20" i="8"/>
  <c r="P24" i="8"/>
  <c r="P27" i="8"/>
  <c r="P19" i="8"/>
  <c r="P11" i="8"/>
  <c r="P22" i="8"/>
  <c r="P26" i="8"/>
  <c r="P18" i="8"/>
  <c r="P16" i="8"/>
  <c r="P25" i="8"/>
  <c r="P17" i="8"/>
  <c r="P14" i="8"/>
  <c r="P21" i="8"/>
  <c r="P13" i="8"/>
  <c r="P23" i="8"/>
  <c r="P15" i="8"/>
  <c r="I37" i="7"/>
  <c r="I38" i="7" l="1"/>
  <c r="I39" i="7"/>
  <c r="I40" i="7" s="1"/>
  <c r="I42" i="7" l="1"/>
  <c r="I41" i="7"/>
  <c r="AA43" i="28"/>
  <c r="AA47" i="28"/>
  <c r="AA48" i="28"/>
  <c r="AA49" i="28"/>
  <c r="AA12" i="28"/>
  <c r="AA14" i="28"/>
  <c r="AA15" i="28"/>
  <c r="AA16" i="28"/>
  <c r="AA17" i="28"/>
  <c r="AA18" i="28"/>
  <c r="AA19" i="28"/>
  <c r="AA20" i="28"/>
  <c r="AA21" i="28"/>
  <c r="AA23" i="28"/>
  <c r="AA25" i="28"/>
  <c r="AA26" i="28"/>
  <c r="AA27" i="28"/>
  <c r="AA28" i="28"/>
  <c r="AA29" i="28"/>
  <c r="AA30" i="28"/>
  <c r="AA31" i="28"/>
  <c r="AA32" i="28"/>
  <c r="AA34" i="28"/>
  <c r="AA37" i="28"/>
  <c r="AA38" i="28"/>
  <c r="AA11" i="28"/>
  <c r="W53" i="28"/>
  <c r="X53" i="28"/>
  <c r="Y53" i="28"/>
  <c r="Z53" i="28"/>
  <c r="D53" i="28"/>
  <c r="X47" i="28"/>
  <c r="W47" i="28"/>
  <c r="V47" i="28"/>
  <c r="U47" i="28"/>
  <c r="T47" i="28"/>
  <c r="S47" i="28"/>
  <c r="R47" i="28"/>
  <c r="Q47" i="28"/>
  <c r="P47" i="28"/>
  <c r="O47" i="28"/>
  <c r="N47" i="28"/>
  <c r="M47" i="28"/>
  <c r="L47" i="28"/>
  <c r="K47" i="28"/>
  <c r="J47" i="28"/>
  <c r="H47" i="28"/>
  <c r="G47" i="28"/>
  <c r="F47" i="28"/>
  <c r="Z39" i="28"/>
  <c r="Y39" i="28"/>
  <c r="X39" i="28"/>
  <c r="W39" i="28"/>
  <c r="AA36" i="28"/>
  <c r="L36" i="28"/>
  <c r="K36" i="28"/>
  <c r="J36" i="28"/>
  <c r="H36" i="28"/>
  <c r="G36" i="28"/>
  <c r="F36" i="28"/>
  <c r="E36" i="28"/>
  <c r="F29" i="28"/>
  <c r="E29" i="28"/>
  <c r="F26" i="28"/>
  <c r="E26" i="28"/>
  <c r="D26" i="28"/>
  <c r="D25" i="28" s="1"/>
  <c r="U25" i="28"/>
  <c r="T25" i="28"/>
  <c r="S25" i="28"/>
  <c r="R25" i="28"/>
  <c r="Q25" i="28"/>
  <c r="P25" i="28"/>
  <c r="O25" i="28"/>
  <c r="N25" i="28"/>
  <c r="M25" i="28"/>
  <c r="L25" i="28"/>
  <c r="K25" i="28"/>
  <c r="J25" i="28"/>
  <c r="I25" i="28"/>
  <c r="H25" i="28"/>
  <c r="G25" i="28"/>
  <c r="F18" i="28"/>
  <c r="E18" i="28"/>
  <c r="E13" i="28"/>
  <c r="D14" i="28"/>
  <c r="D13" i="28" s="1"/>
  <c r="U13" i="28"/>
  <c r="U39" i="28" s="1"/>
  <c r="U53" i="28" s="1"/>
  <c r="T13" i="28"/>
  <c r="S13" i="28"/>
  <c r="R13" i="28"/>
  <c r="Q13" i="28"/>
  <c r="Q39" i="28" s="1"/>
  <c r="Q53" i="28" s="1"/>
  <c r="P13" i="28"/>
  <c r="O13" i="28"/>
  <c r="N13" i="28"/>
  <c r="M13" i="28"/>
  <c r="L13" i="28"/>
  <c r="K13" i="28"/>
  <c r="J13" i="28"/>
  <c r="I13" i="28"/>
  <c r="I39" i="28" s="1"/>
  <c r="I53" i="28" s="1"/>
  <c r="H13" i="28"/>
  <c r="G13" i="28"/>
  <c r="F11" i="28"/>
  <c r="E11" i="28"/>
  <c r="D11" i="28"/>
  <c r="I43" i="7" l="1"/>
  <c r="M39" i="28"/>
  <c r="M53" i="28" s="1"/>
  <c r="F13" i="28"/>
  <c r="AA13" i="28" s="1"/>
  <c r="E25" i="28"/>
  <c r="N39" i="28"/>
  <c r="N53" i="28" s="1"/>
  <c r="R39" i="28"/>
  <c r="R53" i="28" s="1"/>
  <c r="V39" i="28"/>
  <c r="V53" i="28" s="1"/>
  <c r="F25" i="28"/>
  <c r="F39" i="28" s="1"/>
  <c r="F53" i="28" s="1"/>
  <c r="G39" i="28"/>
  <c r="G53" i="28" s="1"/>
  <c r="K39" i="28"/>
  <c r="K53" i="28" s="1"/>
  <c r="O39" i="28"/>
  <c r="O53" i="28" s="1"/>
  <c r="S39" i="28"/>
  <c r="S53" i="28" s="1"/>
  <c r="J39" i="28"/>
  <c r="J53" i="28" s="1"/>
  <c r="H39" i="28"/>
  <c r="H53" i="28" s="1"/>
  <c r="L39" i="28"/>
  <c r="L53" i="28" s="1"/>
  <c r="P39" i="28"/>
  <c r="P53" i="28" s="1"/>
  <c r="T39" i="28"/>
  <c r="T53" i="28" s="1"/>
  <c r="E39" i="28"/>
  <c r="E16" i="25"/>
  <c r="T20" i="24"/>
  <c r="T19" i="24"/>
  <c r="T18" i="24"/>
  <c r="T17" i="24"/>
  <c r="K31" i="22"/>
  <c r="K33" i="22" s="1"/>
  <c r="I31" i="22"/>
  <c r="I33" i="22" s="1"/>
  <c r="K83" i="20"/>
  <c r="J83" i="20"/>
  <c r="J79" i="20"/>
  <c r="K17" i="20"/>
  <c r="J17" i="20"/>
  <c r="H82" i="19"/>
  <c r="H78" i="19"/>
  <c r="H16" i="19"/>
  <c r="H82" i="18"/>
  <c r="H78" i="18"/>
  <c r="H16" i="18"/>
  <c r="H84" i="19" l="1"/>
  <c r="K85" i="20"/>
  <c r="J85" i="20"/>
  <c r="I44" i="7"/>
  <c r="AA39" i="28"/>
  <c r="E53" i="28"/>
  <c r="AA53" i="28" s="1"/>
  <c r="K34" i="22"/>
  <c r="H84" i="18"/>
  <c r="O79" i="11"/>
  <c r="O78" i="11"/>
  <c r="O67" i="11"/>
  <c r="O56" i="11"/>
  <c r="O56" i="10"/>
  <c r="O67" i="10"/>
  <c r="O78" i="10"/>
  <c r="O79" i="10"/>
  <c r="G12" i="8"/>
  <c r="AU28" i="8"/>
  <c r="AW28" i="8"/>
  <c r="AY28" i="8"/>
  <c r="BA28" i="8"/>
  <c r="BC28" i="8"/>
  <c r="U32" i="6"/>
  <c r="V32" i="6"/>
  <c r="X32" i="6"/>
  <c r="Z32" i="6"/>
  <c r="AB32" i="6"/>
  <c r="AC32" i="6"/>
  <c r="AD32" i="6"/>
  <c r="AE32" i="6"/>
  <c r="T32" i="6"/>
  <c r="AF42" i="6"/>
  <c r="Y42" i="6"/>
  <c r="AF41" i="6"/>
  <c r="Y41" i="6"/>
  <c r="AF40" i="6"/>
  <c r="Y40" i="6"/>
  <c r="AF39" i="6"/>
  <c r="Y39" i="6"/>
  <c r="AF38" i="6"/>
  <c r="Y38" i="6"/>
  <c r="AF37" i="6"/>
  <c r="Y37" i="6"/>
  <c r="AF36" i="6"/>
  <c r="Y36" i="6"/>
  <c r="AF35" i="6"/>
  <c r="Y35" i="6"/>
  <c r="AF34" i="6"/>
  <c r="Y34" i="6"/>
  <c r="E32" i="6"/>
  <c r="H32" i="6"/>
  <c r="I32" i="6"/>
  <c r="J32" i="6"/>
  <c r="K32" i="6"/>
  <c r="M32" i="6"/>
  <c r="O32" i="6"/>
  <c r="P32" i="6"/>
  <c r="Q32" i="6"/>
  <c r="R32" i="6"/>
  <c r="Y32" i="6" l="1"/>
  <c r="AV20" i="8"/>
  <c r="AV16" i="8"/>
  <c r="AV27" i="8"/>
  <c r="AV19" i="8"/>
  <c r="AV11" i="8"/>
  <c r="AV26" i="8"/>
  <c r="AV18" i="8"/>
  <c r="AV24" i="8"/>
  <c r="AV25" i="8"/>
  <c r="AV17" i="8"/>
  <c r="AV21" i="8"/>
  <c r="AV13" i="8"/>
  <c r="AV23" i="8"/>
  <c r="AV15" i="8"/>
  <c r="AV22" i="8"/>
  <c r="AV14" i="8"/>
  <c r="AV12" i="8"/>
  <c r="G28" i="8"/>
  <c r="H12" i="8" s="1"/>
  <c r="BD24" i="8"/>
  <c r="BD16" i="8"/>
  <c r="BD23" i="8"/>
  <c r="BD15" i="8"/>
  <c r="BD20" i="8"/>
  <c r="BD22" i="8"/>
  <c r="BD14" i="8"/>
  <c r="BD21" i="8"/>
  <c r="BD13" i="8"/>
  <c r="BD25" i="8"/>
  <c r="BD17" i="8"/>
  <c r="BD27" i="8"/>
  <c r="BD19" i="8"/>
  <c r="BD11" i="8"/>
  <c r="BD26" i="8"/>
  <c r="BD18" i="8"/>
  <c r="BD12" i="8"/>
  <c r="BB25" i="8"/>
  <c r="BB17" i="8"/>
  <c r="BB24" i="8"/>
  <c r="BB16" i="8"/>
  <c r="BB13" i="8"/>
  <c r="BB23" i="8"/>
  <c r="BB15" i="8"/>
  <c r="BB21" i="8"/>
  <c r="BB22" i="8"/>
  <c r="BB14" i="8"/>
  <c r="BB26" i="8"/>
  <c r="BB18" i="8"/>
  <c r="BB20" i="8"/>
  <c r="BB27" i="8"/>
  <c r="BB19" i="8"/>
  <c r="BB11" i="8"/>
  <c r="BB12" i="8"/>
  <c r="AZ26" i="8"/>
  <c r="AZ18" i="8"/>
  <c r="AZ14" i="8"/>
  <c r="AZ25" i="8"/>
  <c r="AZ17" i="8"/>
  <c r="AZ24" i="8"/>
  <c r="AZ16" i="8"/>
  <c r="AZ23" i="8"/>
  <c r="AZ15" i="8"/>
  <c r="AZ22" i="8"/>
  <c r="AZ27" i="8"/>
  <c r="AZ19" i="8"/>
  <c r="AZ11" i="8"/>
  <c r="AZ21" i="8"/>
  <c r="AZ13" i="8"/>
  <c r="AZ20" i="8"/>
  <c r="AZ12" i="8"/>
  <c r="AX27" i="8"/>
  <c r="AX19" i="8"/>
  <c r="AX11" i="8"/>
  <c r="AX26" i="8"/>
  <c r="AX18" i="8"/>
  <c r="AX23" i="8"/>
  <c r="AX25" i="8"/>
  <c r="AX17" i="8"/>
  <c r="AX24" i="8"/>
  <c r="AX16" i="8"/>
  <c r="AX15" i="8"/>
  <c r="AX20" i="8"/>
  <c r="AX12" i="8"/>
  <c r="AX22" i="8"/>
  <c r="AX14" i="8"/>
  <c r="AX21" i="8"/>
  <c r="AX13" i="8"/>
  <c r="I45" i="7"/>
  <c r="I46" i="7"/>
  <c r="AF32" i="6"/>
  <c r="S42" i="6"/>
  <c r="F42" i="6"/>
  <c r="S41" i="6"/>
  <c r="F41" i="6"/>
  <c r="S40" i="6"/>
  <c r="F40" i="6"/>
  <c r="S39" i="6"/>
  <c r="F39" i="6"/>
  <c r="S38" i="6"/>
  <c r="F38" i="6"/>
  <c r="S37" i="6"/>
  <c r="F37" i="6"/>
  <c r="S36" i="6"/>
  <c r="F36" i="6"/>
  <c r="S35" i="6"/>
  <c r="F35" i="6"/>
  <c r="S34" i="6"/>
  <c r="F34" i="6"/>
  <c r="AG34" i="6" s="1"/>
  <c r="C32" i="6"/>
  <c r="H19" i="8" l="1"/>
  <c r="H27" i="8"/>
  <c r="H20" i="8"/>
  <c r="H11" i="8"/>
  <c r="H23" i="8"/>
  <c r="H17" i="8"/>
  <c r="H18" i="8"/>
  <c r="H13" i="8"/>
  <c r="H21" i="8"/>
  <c r="H14" i="8"/>
  <c r="H22" i="8"/>
  <c r="H15" i="8"/>
  <c r="H16" i="8"/>
  <c r="H24" i="8"/>
  <c r="H25" i="8"/>
  <c r="H26" i="8"/>
  <c r="L35" i="6"/>
  <c r="AG35" i="6"/>
  <c r="L36" i="6"/>
  <c r="AG36" i="6"/>
  <c r="L38" i="6"/>
  <c r="AG38" i="6"/>
  <c r="L40" i="6"/>
  <c r="AG40" i="6"/>
  <c r="L42" i="6"/>
  <c r="AG42" i="6"/>
  <c r="L37" i="6"/>
  <c r="AG37" i="6"/>
  <c r="L41" i="6"/>
  <c r="AG41" i="6"/>
  <c r="L39" i="6"/>
  <c r="AG39" i="6"/>
  <c r="L34" i="6"/>
  <c r="F32" i="6"/>
  <c r="AG32" i="6" s="1"/>
  <c r="S32" i="6"/>
  <c r="M42" i="5"/>
  <c r="M41" i="5"/>
  <c r="M40" i="5"/>
  <c r="M39" i="5"/>
  <c r="M38" i="5"/>
  <c r="M37" i="5"/>
  <c r="M36" i="5"/>
  <c r="M35" i="5"/>
  <c r="M34" i="5"/>
  <c r="L32" i="5"/>
  <c r="J32" i="5"/>
  <c r="I32" i="5"/>
  <c r="H32" i="5"/>
  <c r="G32" i="5"/>
  <c r="E32" i="5"/>
  <c r="C32" i="5"/>
  <c r="E41" i="4"/>
  <c r="E40" i="4"/>
  <c r="E39" i="4"/>
  <c r="E38" i="4"/>
  <c r="E37" i="4"/>
  <c r="E36" i="4"/>
  <c r="E35" i="4"/>
  <c r="E34" i="4"/>
  <c r="E33" i="4"/>
  <c r="D38" i="3"/>
  <c r="E38" i="3"/>
  <c r="I38" i="3"/>
  <c r="J38" i="3"/>
  <c r="K38" i="3"/>
  <c r="L38" i="3"/>
  <c r="M38" i="3"/>
  <c r="N38" i="3"/>
  <c r="O38" i="3"/>
  <c r="P38" i="3"/>
  <c r="Q38" i="3"/>
  <c r="R38" i="3"/>
  <c r="S38" i="3"/>
  <c r="T38" i="3"/>
  <c r="U38" i="3"/>
  <c r="V38" i="3"/>
  <c r="C38" i="3"/>
  <c r="E31" i="4" l="1"/>
  <c r="F32" i="5"/>
  <c r="M32" i="5" s="1"/>
  <c r="I47" i="7"/>
  <c r="L32" i="6"/>
  <c r="U48" i="2"/>
  <c r="T48" i="2"/>
  <c r="S48" i="2"/>
  <c r="K48" i="2"/>
  <c r="R48" i="2" s="1"/>
  <c r="J48" i="2"/>
  <c r="Q48" i="2" s="1"/>
  <c r="I48" i="2"/>
  <c r="U47" i="2"/>
  <c r="T47" i="2"/>
  <c r="S47" i="2"/>
  <c r="K47" i="2"/>
  <c r="J47" i="2"/>
  <c r="I47" i="2"/>
  <c r="E47" i="2"/>
  <c r="D47" i="2"/>
  <c r="C47" i="2"/>
  <c r="U46" i="2"/>
  <c r="T46" i="2"/>
  <c r="S46" i="2"/>
  <c r="K46" i="2"/>
  <c r="J46" i="2"/>
  <c r="I46" i="2"/>
  <c r="E46" i="2"/>
  <c r="D46" i="2"/>
  <c r="C46" i="2"/>
  <c r="U45" i="2"/>
  <c r="T45" i="2"/>
  <c r="S45" i="2"/>
  <c r="K45" i="2"/>
  <c r="J45" i="2"/>
  <c r="I45" i="2"/>
  <c r="E45" i="2"/>
  <c r="D45" i="2"/>
  <c r="C45" i="2"/>
  <c r="U44" i="2"/>
  <c r="T44" i="2"/>
  <c r="S44" i="2"/>
  <c r="K44" i="2"/>
  <c r="J44" i="2"/>
  <c r="I44" i="2"/>
  <c r="E44" i="2"/>
  <c r="D44" i="2"/>
  <c r="C44" i="2"/>
  <c r="U43" i="2"/>
  <c r="T43" i="2"/>
  <c r="S43" i="2"/>
  <c r="K43" i="2"/>
  <c r="J43" i="2"/>
  <c r="I43" i="2"/>
  <c r="E43" i="2"/>
  <c r="D43" i="2"/>
  <c r="C43" i="2"/>
  <c r="U42" i="2"/>
  <c r="T42" i="2"/>
  <c r="S42" i="2"/>
  <c r="K42" i="2"/>
  <c r="J42" i="2"/>
  <c r="I42" i="2"/>
  <c r="E42" i="2"/>
  <c r="D42" i="2"/>
  <c r="C42" i="2"/>
  <c r="U41" i="2"/>
  <c r="T41" i="2"/>
  <c r="S41" i="2"/>
  <c r="K41" i="2"/>
  <c r="J41" i="2"/>
  <c r="I41" i="2"/>
  <c r="E41" i="2"/>
  <c r="D41" i="2"/>
  <c r="C41" i="2"/>
  <c r="U40" i="2"/>
  <c r="T40" i="2"/>
  <c r="S40" i="2"/>
  <c r="K40" i="2"/>
  <c r="J40" i="2"/>
  <c r="I40" i="2"/>
  <c r="E40" i="2"/>
  <c r="D40" i="2"/>
  <c r="C40" i="2"/>
  <c r="U39" i="2"/>
  <c r="T39" i="2"/>
  <c r="S39" i="2"/>
  <c r="K39" i="2"/>
  <c r="J39" i="2"/>
  <c r="I39" i="2"/>
  <c r="E39" i="2"/>
  <c r="D39" i="2"/>
  <c r="C39" i="2"/>
  <c r="R46" i="2" l="1"/>
  <c r="R42" i="2"/>
  <c r="P44" i="2"/>
  <c r="P48" i="2"/>
  <c r="V37" i="2"/>
  <c r="R47" i="2"/>
  <c r="R45" i="2"/>
  <c r="I48" i="7"/>
  <c r="P45" i="2"/>
  <c r="Q44" i="2"/>
  <c r="R44" i="2"/>
  <c r="R43" i="2"/>
  <c r="P41" i="2"/>
  <c r="J37" i="2"/>
  <c r="K37" i="2"/>
  <c r="I37" i="2"/>
  <c r="R41" i="2"/>
  <c r="U37" i="2"/>
  <c r="T37" i="2"/>
  <c r="Q40" i="2"/>
  <c r="S37" i="2"/>
  <c r="C37" i="2"/>
  <c r="R40" i="2"/>
  <c r="P40" i="2"/>
  <c r="Q39" i="2"/>
  <c r="D37" i="2"/>
  <c r="R39" i="2"/>
  <c r="E37" i="2"/>
  <c r="Q43" i="2"/>
  <c r="Q47" i="2"/>
  <c r="Q41" i="2"/>
  <c r="Q45" i="2"/>
  <c r="P42" i="2"/>
  <c r="P46" i="2"/>
  <c r="Q42" i="2"/>
  <c r="Q46" i="2"/>
  <c r="P43" i="2"/>
  <c r="P47" i="2"/>
  <c r="P39" i="2"/>
  <c r="I49" i="7" l="1"/>
  <c r="P37" i="2"/>
  <c r="Q37" i="2"/>
  <c r="R37" i="2"/>
  <c r="I51" i="7" l="1"/>
  <c r="I50" i="7"/>
  <c r="I52" i="7" l="1"/>
  <c r="I53" i="7"/>
  <c r="I55" i="7"/>
  <c r="I54" i="7" l="1"/>
  <c r="I56" i="7" l="1"/>
  <c r="I57" i="7" l="1"/>
  <c r="I58" i="7" s="1"/>
  <c r="C58" i="7"/>
  <c r="AA32" i="5"/>
  <c r="AE34" i="5"/>
  <c r="AE32" i="5" s="1"/>
</calcChain>
</file>

<file path=xl/sharedStrings.xml><?xml version="1.0" encoding="utf-8"?>
<sst xmlns="http://schemas.openxmlformats.org/spreadsheetml/2006/main" count="5108" uniqueCount="1134">
  <si>
    <t>令和元年度</t>
    <rPh sb="0" eb="2">
      <t>レイワ</t>
    </rPh>
    <rPh sb="2" eb="3">
      <t>ガン</t>
    </rPh>
    <rPh sb="3" eb="4">
      <t>ネン</t>
    </rPh>
    <rPh sb="4" eb="5">
      <t>ド</t>
    </rPh>
    <phoneticPr fontId="2"/>
  </si>
  <si>
    <t>令和２年度</t>
    <rPh sb="0" eb="2">
      <t>レイワ</t>
    </rPh>
    <rPh sb="3" eb="5">
      <t>ネンド</t>
    </rPh>
    <phoneticPr fontId="1"/>
  </si>
  <si>
    <t>平成30年度</t>
    <rPh sb="0" eb="2">
      <t>ヘイセイ</t>
    </rPh>
    <rPh sb="4" eb="5">
      <t>ネン</t>
    </rPh>
    <rPh sb="5" eb="6">
      <t>ド</t>
    </rPh>
    <phoneticPr fontId="1"/>
  </si>
  <si>
    <t>平成29年度</t>
    <rPh sb="0" eb="2">
      <t>ヘイセイ</t>
    </rPh>
    <rPh sb="4" eb="6">
      <t>ネンド</t>
    </rPh>
    <phoneticPr fontId="1"/>
  </si>
  <si>
    <t>平成28年度</t>
    <rPh sb="0" eb="2">
      <t>ヘイセイ</t>
    </rPh>
    <rPh sb="4" eb="6">
      <t>ネンド</t>
    </rPh>
    <phoneticPr fontId="1"/>
  </si>
  <si>
    <t>均等割のみ
納めるもの</t>
    <rPh sb="0" eb="3">
      <t>キントウワリ</t>
    </rPh>
    <rPh sb="6" eb="7">
      <t>オサ</t>
    </rPh>
    <phoneticPr fontId="2"/>
  </si>
  <si>
    <t>所得割のみ
納めるもの</t>
    <rPh sb="0" eb="2">
      <t>ショトク</t>
    </rPh>
    <rPh sb="2" eb="3">
      <t>ワリ</t>
    </rPh>
    <rPh sb="6" eb="7">
      <t>オサ</t>
    </rPh>
    <phoneticPr fontId="2"/>
  </si>
  <si>
    <t>均等割
納税者</t>
    <rPh sb="0" eb="3">
      <t>キントウワ</t>
    </rPh>
    <rPh sb="4" eb="7">
      <t>ノウゼイシャ</t>
    </rPh>
    <phoneticPr fontId="1"/>
  </si>
  <si>
    <t>所得割
納税者</t>
    <rPh sb="0" eb="2">
      <t>ショトク</t>
    </rPh>
    <rPh sb="2" eb="3">
      <t>ワリ</t>
    </rPh>
    <rPh sb="4" eb="7">
      <t>ノウゼイシャ</t>
    </rPh>
    <phoneticPr fontId="1"/>
  </si>
  <si>
    <t>計
（実人員）</t>
    <rPh sb="0" eb="1">
      <t>ケイ</t>
    </rPh>
    <rPh sb="3" eb="4">
      <t>ジツ</t>
    </rPh>
    <rPh sb="4" eb="6">
      <t>ジンイン</t>
    </rPh>
    <phoneticPr fontId="1"/>
  </si>
  <si>
    <t>内訳</t>
    <rPh sb="0" eb="1">
      <t>ウチ</t>
    </rPh>
    <rPh sb="1" eb="2">
      <t>ヤク</t>
    </rPh>
    <phoneticPr fontId="2"/>
  </si>
  <si>
    <t>普通徴収分</t>
    <rPh sb="0" eb="1">
      <t>アマネ</t>
    </rPh>
    <rPh sb="1" eb="2">
      <t>ツウ</t>
    </rPh>
    <rPh sb="2" eb="3">
      <t>シルシ</t>
    </rPh>
    <rPh sb="3" eb="4">
      <t>オサム</t>
    </rPh>
    <rPh sb="4" eb="5">
      <t>ブン</t>
    </rPh>
    <phoneticPr fontId="2"/>
  </si>
  <si>
    <t>特別徴収分</t>
    <rPh sb="0" eb="1">
      <t>トク</t>
    </rPh>
    <rPh sb="1" eb="2">
      <t>ベツ</t>
    </rPh>
    <rPh sb="2" eb="3">
      <t>シルシ</t>
    </rPh>
    <rPh sb="3" eb="4">
      <t>オサム</t>
    </rPh>
    <rPh sb="4" eb="5">
      <t>ブン</t>
    </rPh>
    <phoneticPr fontId="2"/>
  </si>
  <si>
    <t>合計</t>
    <rPh sb="0" eb="1">
      <t>ゴウ</t>
    </rPh>
    <rPh sb="1" eb="2">
      <t>ケイ</t>
    </rPh>
    <phoneticPr fontId="2"/>
  </si>
  <si>
    <t>均と所の
両方を
納めるもの</t>
    <rPh sb="0" eb="1">
      <t>ヒトシ</t>
    </rPh>
    <rPh sb="2" eb="3">
      <t>ショ</t>
    </rPh>
    <rPh sb="5" eb="7">
      <t>リョウホウ</t>
    </rPh>
    <rPh sb="9" eb="10">
      <t>オサ</t>
    </rPh>
    <phoneticPr fontId="2"/>
  </si>
  <si>
    <t>所得割
納税者</t>
    <rPh sb="0" eb="2">
      <t>ショトク</t>
    </rPh>
    <rPh sb="2" eb="3">
      <t>ワリ</t>
    </rPh>
    <rPh sb="4" eb="7">
      <t>ノウゼイシャ</t>
    </rPh>
    <phoneticPr fontId="2"/>
  </si>
  <si>
    <t>均等割
納税者</t>
    <rPh sb="0" eb="3">
      <t>キントウワリ</t>
    </rPh>
    <rPh sb="4" eb="7">
      <t>ノウゼイシャ</t>
    </rPh>
    <phoneticPr fontId="2"/>
  </si>
  <si>
    <t>退職所得
分離課税分</t>
    <rPh sb="0" eb="2">
      <t>タイショク</t>
    </rPh>
    <rPh sb="2" eb="4">
      <t>ショトク</t>
    </rPh>
    <rPh sb="5" eb="7">
      <t>ブンリ</t>
    </rPh>
    <rPh sb="7" eb="9">
      <t>カゼイ</t>
    </rPh>
    <rPh sb="9" eb="10">
      <t>ブン</t>
    </rPh>
    <phoneticPr fontId="2"/>
  </si>
  <si>
    <t>東灘</t>
    <rPh sb="0" eb="2">
      <t>ヒガシナダ</t>
    </rPh>
    <phoneticPr fontId="1"/>
  </si>
  <si>
    <t>灘</t>
    <rPh sb="0" eb="1">
      <t>ナダ</t>
    </rPh>
    <phoneticPr fontId="1"/>
  </si>
  <si>
    <t>中央</t>
    <rPh sb="0" eb="2">
      <t>チュウオウ</t>
    </rPh>
    <phoneticPr fontId="1"/>
  </si>
  <si>
    <t>兵庫</t>
    <rPh sb="0" eb="2">
      <t>ヒョウゴ</t>
    </rPh>
    <phoneticPr fontId="1"/>
  </si>
  <si>
    <t>北</t>
    <rPh sb="0" eb="1">
      <t>キタ</t>
    </rPh>
    <phoneticPr fontId="1"/>
  </si>
  <si>
    <t>長田</t>
    <rPh sb="0" eb="2">
      <t>ナガタ</t>
    </rPh>
    <phoneticPr fontId="1"/>
  </si>
  <si>
    <t>須磨</t>
    <rPh sb="0" eb="2">
      <t>スマ</t>
    </rPh>
    <phoneticPr fontId="1"/>
  </si>
  <si>
    <t>垂水</t>
    <rPh sb="0" eb="2">
      <t>タルミ</t>
    </rPh>
    <phoneticPr fontId="1"/>
  </si>
  <si>
    <t>西</t>
    <rPh sb="0" eb="1">
      <t>ニシ</t>
    </rPh>
    <phoneticPr fontId="1"/>
  </si>
  <si>
    <t>本庁</t>
    <rPh sb="0" eb="2">
      <t>ホンチョウ</t>
    </rPh>
    <phoneticPr fontId="1"/>
  </si>
  <si>
    <t>(注）</t>
    <rPh sb="1" eb="2">
      <t>チュウ</t>
    </rPh>
    <phoneticPr fontId="2"/>
  </si>
  <si>
    <t>（単位：人）</t>
    <rPh sb="1" eb="3">
      <t>タンイ</t>
    </rPh>
    <rPh sb="4" eb="5">
      <t>ヒト</t>
    </rPh>
    <phoneticPr fontId="1"/>
  </si>
  <si>
    <t>３．端数処理のため、合計が一致しない場合がある。</t>
    <rPh sb="2" eb="4">
      <t>ハスウ</t>
    </rPh>
    <rPh sb="4" eb="6">
      <t>ショリ</t>
    </rPh>
    <rPh sb="10" eb="12">
      <t>ゴウケイ</t>
    </rPh>
    <rPh sb="13" eb="15">
      <t>イッチ</t>
    </rPh>
    <rPh sb="18" eb="20">
      <t>バアイ</t>
    </rPh>
    <phoneticPr fontId="2"/>
  </si>
  <si>
    <t>計</t>
    <rPh sb="0" eb="1">
      <t>ケイ</t>
    </rPh>
    <phoneticPr fontId="1"/>
  </si>
  <si>
    <t>（単位：千円）</t>
    <rPh sb="1" eb="3">
      <t>タンイ</t>
    </rPh>
    <rPh sb="4" eb="6">
      <t>センエン</t>
    </rPh>
    <phoneticPr fontId="1"/>
  </si>
  <si>
    <t>均等割
調定額</t>
    <rPh sb="0" eb="3">
      <t>キントウワリ</t>
    </rPh>
    <rPh sb="4" eb="7">
      <t>チョウテイガク</t>
    </rPh>
    <phoneticPr fontId="2"/>
  </si>
  <si>
    <t>所得割
調定額</t>
    <rPh sb="0" eb="2">
      <t>ショトク</t>
    </rPh>
    <rPh sb="2" eb="3">
      <t>ワリ</t>
    </rPh>
    <rPh sb="4" eb="7">
      <t>チョウテイガク</t>
    </rPh>
    <phoneticPr fontId="2"/>
  </si>
  <si>
    <t>均等割
調定額</t>
    <rPh sb="0" eb="3">
      <t>キントウワ</t>
    </rPh>
    <rPh sb="4" eb="7">
      <t>チョウテイガク</t>
    </rPh>
    <phoneticPr fontId="1"/>
  </si>
  <si>
    <t>所得割
調定額</t>
    <rPh sb="0" eb="2">
      <t>ショトク</t>
    </rPh>
    <rPh sb="2" eb="3">
      <t>ワリ</t>
    </rPh>
    <rPh sb="4" eb="7">
      <t>チョウテイガク</t>
    </rPh>
    <phoneticPr fontId="1"/>
  </si>
  <si>
    <t>（注）「市町村課税状況等の調（第12表関係）」をもとに，記載している。</t>
    <phoneticPr fontId="2"/>
  </si>
  <si>
    <t>令和３年度</t>
    <rPh sb="0" eb="2">
      <t>レイワ</t>
    </rPh>
    <rPh sb="3" eb="5">
      <t>ネンド</t>
    </rPh>
    <phoneticPr fontId="1"/>
  </si>
  <si>
    <t>令和元年度</t>
    <rPh sb="0" eb="2">
      <t>レイワ</t>
    </rPh>
    <rPh sb="2" eb="3">
      <t>ガン</t>
    </rPh>
    <rPh sb="3" eb="5">
      <t>ネンド</t>
    </rPh>
    <phoneticPr fontId="1"/>
  </si>
  <si>
    <t>平成30年度</t>
    <rPh sb="0" eb="2">
      <t>ヘイセイ</t>
    </rPh>
    <rPh sb="4" eb="6">
      <t>ネンド</t>
    </rPh>
    <phoneticPr fontId="1"/>
  </si>
  <si>
    <t>10万円以下</t>
    <rPh sb="2" eb="4">
      <t>マンエン</t>
    </rPh>
    <rPh sb="4" eb="6">
      <t>イカ</t>
    </rPh>
    <phoneticPr fontId="1"/>
  </si>
  <si>
    <t>10万円超100万円以下</t>
    <rPh sb="2" eb="4">
      <t>マンエン</t>
    </rPh>
    <rPh sb="4" eb="5">
      <t>コ</t>
    </rPh>
    <rPh sb="8" eb="10">
      <t>マンエン</t>
    </rPh>
    <rPh sb="10" eb="12">
      <t>イカ</t>
    </rPh>
    <phoneticPr fontId="1"/>
  </si>
  <si>
    <t>100万円超200万円以下</t>
    <rPh sb="3" eb="5">
      <t>マンエン</t>
    </rPh>
    <rPh sb="5" eb="6">
      <t>コ</t>
    </rPh>
    <rPh sb="9" eb="11">
      <t>マンエン</t>
    </rPh>
    <rPh sb="11" eb="13">
      <t>イカ</t>
    </rPh>
    <phoneticPr fontId="1"/>
  </si>
  <si>
    <t>200万円超300万円以下</t>
    <rPh sb="3" eb="5">
      <t>マンエン</t>
    </rPh>
    <rPh sb="5" eb="6">
      <t>コ</t>
    </rPh>
    <rPh sb="9" eb="11">
      <t>マンエン</t>
    </rPh>
    <rPh sb="11" eb="13">
      <t>イカ</t>
    </rPh>
    <phoneticPr fontId="1"/>
  </si>
  <si>
    <t>300万円超400万円以下</t>
    <rPh sb="3" eb="5">
      <t>マンエン</t>
    </rPh>
    <rPh sb="5" eb="6">
      <t>コ</t>
    </rPh>
    <rPh sb="9" eb="11">
      <t>マンエン</t>
    </rPh>
    <rPh sb="11" eb="13">
      <t>イカ</t>
    </rPh>
    <phoneticPr fontId="1"/>
  </si>
  <si>
    <t>400万円超550万円以下</t>
    <rPh sb="3" eb="5">
      <t>マンエン</t>
    </rPh>
    <rPh sb="5" eb="6">
      <t>コ</t>
    </rPh>
    <rPh sb="9" eb="11">
      <t>マンエン</t>
    </rPh>
    <rPh sb="11" eb="13">
      <t>イカ</t>
    </rPh>
    <phoneticPr fontId="1"/>
  </si>
  <si>
    <t>550万円超700万円以下</t>
    <rPh sb="3" eb="5">
      <t>マンエン</t>
    </rPh>
    <rPh sb="5" eb="6">
      <t>コ</t>
    </rPh>
    <rPh sb="9" eb="11">
      <t>マンエン</t>
    </rPh>
    <rPh sb="11" eb="13">
      <t>イカ</t>
    </rPh>
    <phoneticPr fontId="1"/>
  </si>
  <si>
    <t>700万円超1,000万円以下</t>
    <rPh sb="3" eb="5">
      <t>マンエン</t>
    </rPh>
    <rPh sb="5" eb="6">
      <t>コ</t>
    </rPh>
    <rPh sb="11" eb="13">
      <t>マンエン</t>
    </rPh>
    <rPh sb="13" eb="15">
      <t>イカ</t>
    </rPh>
    <phoneticPr fontId="1"/>
  </si>
  <si>
    <t>1,000万円超</t>
    <rPh sb="5" eb="7">
      <t>マンエン</t>
    </rPh>
    <rPh sb="7" eb="8">
      <t>コ</t>
    </rPh>
    <phoneticPr fontId="1"/>
  </si>
  <si>
    <t>-</t>
  </si>
  <si>
    <t>課税標準額</t>
    <rPh sb="0" eb="2">
      <t>カゼイ</t>
    </rPh>
    <rPh sb="2" eb="4">
      <t>ヒョウジュン</t>
    </rPh>
    <rPh sb="4" eb="5">
      <t>ガク</t>
    </rPh>
    <phoneticPr fontId="1"/>
  </si>
  <si>
    <t>算出税額</t>
    <rPh sb="0" eb="2">
      <t>サンシュツ</t>
    </rPh>
    <rPh sb="2" eb="4">
      <t>ゼイガク</t>
    </rPh>
    <phoneticPr fontId="1"/>
  </si>
  <si>
    <t>所得割額</t>
    <rPh sb="0" eb="2">
      <t>ショトク</t>
    </rPh>
    <rPh sb="2" eb="3">
      <t>ワリ</t>
    </rPh>
    <rPh sb="3" eb="4">
      <t>ガク</t>
    </rPh>
    <phoneticPr fontId="1"/>
  </si>
  <si>
    <t>平均税率
B/A
(%)</t>
    <rPh sb="0" eb="2">
      <t>ヘイキン</t>
    </rPh>
    <rPh sb="2" eb="4">
      <t>ゼイリツ</t>
    </rPh>
    <phoneticPr fontId="1"/>
  </si>
  <si>
    <t>税額控除額</t>
    <rPh sb="0" eb="2">
      <t>ゼイガク</t>
    </rPh>
    <rPh sb="2" eb="4">
      <t>コウジョ</t>
    </rPh>
    <rPh sb="4" eb="5">
      <t>ガク</t>
    </rPh>
    <phoneticPr fontId="1"/>
  </si>
  <si>
    <t>一般法人</t>
    <rPh sb="0" eb="2">
      <t>イッパン</t>
    </rPh>
    <rPh sb="2" eb="4">
      <t>ホウジン</t>
    </rPh>
    <phoneticPr fontId="2"/>
  </si>
  <si>
    <t>準法人</t>
    <rPh sb="0" eb="1">
      <t>ジュン</t>
    </rPh>
    <rPh sb="1" eb="3">
      <t>ホウジン</t>
    </rPh>
    <phoneticPr fontId="2"/>
  </si>
  <si>
    <t>特別法人</t>
    <rPh sb="0" eb="2">
      <t>トクベツ</t>
    </rPh>
    <rPh sb="2" eb="4">
      <t>ホウジン</t>
    </rPh>
    <phoneticPr fontId="2"/>
  </si>
  <si>
    <t>公益法人</t>
    <rPh sb="0" eb="2">
      <t>コウエキ</t>
    </rPh>
    <rPh sb="2" eb="4">
      <t>ホウジン</t>
    </rPh>
    <phoneticPr fontId="2"/>
  </si>
  <si>
    <t>寮等</t>
    <rPh sb="0" eb="1">
      <t>リョウ</t>
    </rPh>
    <rPh sb="1" eb="2">
      <t>ナド</t>
    </rPh>
    <phoneticPr fontId="2"/>
  </si>
  <si>
    <t>その他</t>
    <rPh sb="0" eb="3">
      <t>ソノタ</t>
    </rPh>
    <phoneticPr fontId="2"/>
  </si>
  <si>
    <t>計</t>
    <rPh sb="0" eb="1">
      <t>ケイ</t>
    </rPh>
    <phoneticPr fontId="2"/>
  </si>
  <si>
    <t>非分割法人</t>
    <rPh sb="0" eb="1">
      <t>ヒ</t>
    </rPh>
    <rPh sb="1" eb="3">
      <t>ブンカツ</t>
    </rPh>
    <rPh sb="3" eb="5">
      <t>ホウジン</t>
    </rPh>
    <phoneticPr fontId="2"/>
  </si>
  <si>
    <t>分割(市内)</t>
    <rPh sb="0" eb="2">
      <t>ブンカツ</t>
    </rPh>
    <rPh sb="3" eb="5">
      <t>シナイ</t>
    </rPh>
    <phoneticPr fontId="2"/>
  </si>
  <si>
    <t>分割(市外)</t>
    <rPh sb="0" eb="2">
      <t>ブンカツ</t>
    </rPh>
    <rPh sb="3" eb="5">
      <t>シガイ</t>
    </rPh>
    <phoneticPr fontId="2"/>
  </si>
  <si>
    <t>その他</t>
    <rPh sb="2" eb="3">
      <t>タ</t>
    </rPh>
    <phoneticPr fontId="2"/>
  </si>
  <si>
    <t>50億円超</t>
    <rPh sb="2" eb="4">
      <t>オクエン</t>
    </rPh>
    <rPh sb="4" eb="5">
      <t>チョウ</t>
    </rPh>
    <phoneticPr fontId="2"/>
  </si>
  <si>
    <t>10億円超50億円以下</t>
    <rPh sb="2" eb="4">
      <t>オクエン</t>
    </rPh>
    <rPh sb="4" eb="5">
      <t>チョウ</t>
    </rPh>
    <rPh sb="7" eb="9">
      <t>オクエン</t>
    </rPh>
    <rPh sb="9" eb="11">
      <t>イカ</t>
    </rPh>
    <phoneticPr fontId="2"/>
  </si>
  <si>
    <t>１億円超10億円以下</t>
    <rPh sb="0" eb="3">
      <t>１オクエン</t>
    </rPh>
    <rPh sb="3" eb="4">
      <t>チョウ</t>
    </rPh>
    <rPh sb="6" eb="8">
      <t>オクエン</t>
    </rPh>
    <rPh sb="8" eb="10">
      <t>イカ</t>
    </rPh>
    <phoneticPr fontId="2"/>
  </si>
  <si>
    <t>１千万円超１億円以下</t>
    <rPh sb="1" eb="3">
      <t>センマン</t>
    </rPh>
    <rPh sb="3" eb="4">
      <t>エン</t>
    </rPh>
    <rPh sb="4" eb="5">
      <t>チョウ</t>
    </rPh>
    <rPh sb="6" eb="8">
      <t>オクエン</t>
    </rPh>
    <rPh sb="8" eb="10">
      <t>イカ</t>
    </rPh>
    <phoneticPr fontId="2"/>
  </si>
  <si>
    <t>法人均等割</t>
    <rPh sb="0" eb="2">
      <t>ホウジン</t>
    </rPh>
    <rPh sb="2" eb="5">
      <t>キントウワリ</t>
    </rPh>
    <phoneticPr fontId="2"/>
  </si>
  <si>
    <t>区分</t>
    <rPh sb="0" eb="2">
      <t>クブン</t>
    </rPh>
    <phoneticPr fontId="2"/>
  </si>
  <si>
    <t>平成29年度</t>
  </si>
  <si>
    <t>（単位：人）</t>
  </si>
  <si>
    <t>（注）対象法人は確定申告及び均等割申告の義務者</t>
    <phoneticPr fontId="1"/>
  </si>
  <si>
    <t>資本金等の額</t>
    <rPh sb="0" eb="3">
      <t>シホンキン</t>
    </rPh>
    <rPh sb="3" eb="4">
      <t>トウ</t>
    </rPh>
    <rPh sb="5" eb="6">
      <t>ガク</t>
    </rPh>
    <phoneticPr fontId="1"/>
  </si>
  <si>
    <t>平成28年度</t>
  </si>
  <si>
    <t>（注）平成24年度よりサービス業の一部が電力・ガス業へ業種変更している。</t>
    <phoneticPr fontId="1"/>
  </si>
  <si>
    <t>昭和40年度</t>
  </si>
  <si>
    <t>昭和45年度</t>
    <phoneticPr fontId="2"/>
  </si>
  <si>
    <t>昭和50年度</t>
    <phoneticPr fontId="2"/>
  </si>
  <si>
    <t>昭和55年度</t>
    <phoneticPr fontId="2"/>
  </si>
  <si>
    <t>昭和60年度</t>
    <phoneticPr fontId="2"/>
  </si>
  <si>
    <t>平成２年度</t>
    <rPh sb="0" eb="2">
      <t>ヘイセイ</t>
    </rPh>
    <rPh sb="3" eb="5">
      <t>ネンド</t>
    </rPh>
    <phoneticPr fontId="2"/>
  </si>
  <si>
    <t>平成７年度</t>
    <rPh sb="0" eb="2">
      <t>ヘイセイ</t>
    </rPh>
    <phoneticPr fontId="2"/>
  </si>
  <si>
    <t>平成12年度</t>
    <phoneticPr fontId="2"/>
  </si>
  <si>
    <t>平成17年度</t>
  </si>
  <si>
    <t>平成18年度</t>
  </si>
  <si>
    <t>平成19年度</t>
  </si>
  <si>
    <t>平成20年度</t>
  </si>
  <si>
    <t>平成21年度</t>
  </si>
  <si>
    <t>平成22年度</t>
  </si>
  <si>
    <t>平成23年度</t>
  </si>
  <si>
    <t>平成24年度</t>
  </si>
  <si>
    <t>平成25年度</t>
  </si>
  <si>
    <t>平成26年度</t>
  </si>
  <si>
    <t>平成27年度</t>
  </si>
  <si>
    <t>平成30年度</t>
    <rPh sb="0" eb="2">
      <t>ヘイセイ</t>
    </rPh>
    <rPh sb="4" eb="5">
      <t>ネン</t>
    </rPh>
    <rPh sb="5" eb="6">
      <t>ド</t>
    </rPh>
    <phoneticPr fontId="2"/>
  </si>
  <si>
    <t>令和元年度</t>
    <rPh sb="0" eb="2">
      <t>レイワ</t>
    </rPh>
    <rPh sb="2" eb="4">
      <t>ガンネン</t>
    </rPh>
    <rPh sb="4" eb="5">
      <t>ド</t>
    </rPh>
    <phoneticPr fontId="2"/>
  </si>
  <si>
    <t>建設業</t>
  </si>
  <si>
    <t>製造業</t>
  </si>
  <si>
    <t>卸売業・小売業</t>
  </si>
  <si>
    <t>金融保険業</t>
  </si>
  <si>
    <t>運輸通信業</t>
  </si>
  <si>
    <t>電気・ガス・水道業</t>
  </si>
  <si>
    <t>サービス業</t>
  </si>
  <si>
    <t>不動産その他</t>
  </si>
  <si>
    <t>(1)食料品製造業</t>
    <phoneticPr fontId="1"/>
  </si>
  <si>
    <t>(2)繊維工業</t>
    <phoneticPr fontId="1"/>
  </si>
  <si>
    <t>(3)化学工業</t>
    <phoneticPr fontId="1"/>
  </si>
  <si>
    <t>(4)ゴム製品製造業</t>
    <phoneticPr fontId="1"/>
  </si>
  <si>
    <t>(9)その他の製造業</t>
    <phoneticPr fontId="1"/>
  </si>
  <si>
    <t>合計</t>
    <rPh sb="0" eb="2">
      <t>ゴウケイ</t>
    </rPh>
    <phoneticPr fontId="1"/>
  </si>
  <si>
    <t>１　個人市民税</t>
    <rPh sb="2" eb="4">
      <t>コジン</t>
    </rPh>
    <rPh sb="4" eb="7">
      <t>シミンゼイ</t>
    </rPh>
    <phoneticPr fontId="1"/>
  </si>
  <si>
    <t>（１）納税義務者の推移</t>
    <phoneticPr fontId="1"/>
  </si>
  <si>
    <t>（２）調定額の推移</t>
    <phoneticPr fontId="1"/>
  </si>
  <si>
    <t>２　法人市民税</t>
    <rPh sb="2" eb="4">
      <t>ホウジン</t>
    </rPh>
    <rPh sb="4" eb="7">
      <t>シミンゼイ</t>
    </rPh>
    <phoneticPr fontId="1"/>
  </si>
  <si>
    <t>（１）均等割納税義務者数の推移</t>
    <phoneticPr fontId="1"/>
  </si>
  <si>
    <t>（２）法人税割業種別決算調定額（当年度）の推移</t>
    <phoneticPr fontId="1"/>
  </si>
  <si>
    <t>３　固定資産税</t>
    <rPh sb="2" eb="4">
      <t>コテイ</t>
    </rPh>
    <rPh sb="4" eb="7">
      <t>シサンゼイ</t>
    </rPh>
    <rPh sb="6" eb="7">
      <t>ゼイ</t>
    </rPh>
    <phoneticPr fontId="1"/>
  </si>
  <si>
    <t>（１）納税義務者の推移</t>
    <rPh sb="3" eb="5">
      <t>ノウゼイ</t>
    </rPh>
    <rPh sb="5" eb="8">
      <t>ギムシャ</t>
    </rPh>
    <rPh sb="9" eb="11">
      <t>スイイ</t>
    </rPh>
    <phoneticPr fontId="1"/>
  </si>
  <si>
    <t>（注）「固定資産概要調書」をもとに、記載している。</t>
    <phoneticPr fontId="1"/>
  </si>
  <si>
    <t>法定免税点未満のもの</t>
    <rPh sb="0" eb="2">
      <t>ホウテイ</t>
    </rPh>
    <rPh sb="2" eb="4">
      <t>メンゼイ</t>
    </rPh>
    <rPh sb="4" eb="5">
      <t>テン</t>
    </rPh>
    <rPh sb="5" eb="7">
      <t>ミマン</t>
    </rPh>
    <phoneticPr fontId="15"/>
  </si>
  <si>
    <t>計</t>
    <rPh sb="0" eb="1">
      <t>ケイ</t>
    </rPh>
    <phoneticPr fontId="15"/>
  </si>
  <si>
    <t>土　地</t>
    <rPh sb="0" eb="1">
      <t>ツチ</t>
    </rPh>
    <rPh sb="2" eb="3">
      <t>チ</t>
    </rPh>
    <phoneticPr fontId="15"/>
  </si>
  <si>
    <t>家　屋</t>
    <rPh sb="0" eb="1">
      <t>イエ</t>
    </rPh>
    <rPh sb="2" eb="3">
      <t>ヤ</t>
    </rPh>
    <phoneticPr fontId="15"/>
  </si>
  <si>
    <t>令和元年度</t>
    <rPh sb="0" eb="2">
      <t>レイワ</t>
    </rPh>
    <rPh sb="2" eb="3">
      <t>ガン</t>
    </rPh>
    <rPh sb="3" eb="4">
      <t>ネン</t>
    </rPh>
    <rPh sb="4" eb="5">
      <t>ド</t>
    </rPh>
    <phoneticPr fontId="1"/>
  </si>
  <si>
    <t>土地</t>
    <rPh sb="0" eb="1">
      <t>ツチ</t>
    </rPh>
    <rPh sb="1" eb="2">
      <t>チ</t>
    </rPh>
    <phoneticPr fontId="15"/>
  </si>
  <si>
    <t>家屋</t>
    <rPh sb="0" eb="1">
      <t>イエ</t>
    </rPh>
    <rPh sb="1" eb="2">
      <t>ヤ</t>
    </rPh>
    <phoneticPr fontId="15"/>
  </si>
  <si>
    <t>償却資産</t>
    <rPh sb="0" eb="1">
      <t>ツグナ</t>
    </rPh>
    <rPh sb="1" eb="2">
      <t>キャク</t>
    </rPh>
    <rPh sb="2" eb="3">
      <t>シ</t>
    </rPh>
    <rPh sb="3" eb="4">
      <t>サン</t>
    </rPh>
    <phoneticPr fontId="15"/>
  </si>
  <si>
    <t>個人</t>
    <rPh sb="0" eb="1">
      <t>コ</t>
    </rPh>
    <rPh sb="1" eb="2">
      <t>ヒト</t>
    </rPh>
    <phoneticPr fontId="15"/>
  </si>
  <si>
    <t>法人</t>
    <rPh sb="0" eb="1">
      <t>ホウ</t>
    </rPh>
    <rPh sb="1" eb="2">
      <t>ヒト</t>
    </rPh>
    <phoneticPr fontId="15"/>
  </si>
  <si>
    <t>法定免税点以上のもの</t>
    <rPh sb="0" eb="1">
      <t>ホウ</t>
    </rPh>
    <rPh sb="1" eb="2">
      <t>サダム</t>
    </rPh>
    <rPh sb="2" eb="3">
      <t>メン</t>
    </rPh>
    <rPh sb="3" eb="4">
      <t>ゼイ</t>
    </rPh>
    <rPh sb="4" eb="5">
      <t>テン</t>
    </rPh>
    <rPh sb="5" eb="7">
      <t>イジョウ</t>
    </rPh>
    <phoneticPr fontId="15"/>
  </si>
  <si>
    <t>土地・家屋の実人員</t>
    <rPh sb="0" eb="2">
      <t>トチ</t>
    </rPh>
    <rPh sb="3" eb="5">
      <t>カオク</t>
    </rPh>
    <rPh sb="6" eb="7">
      <t>ジツ</t>
    </rPh>
    <rPh sb="7" eb="9">
      <t>ジンイン</t>
    </rPh>
    <phoneticPr fontId="15"/>
  </si>
  <si>
    <t>計
（延人員）</t>
    <rPh sb="0" eb="1">
      <t>ケイ</t>
    </rPh>
    <rPh sb="3" eb="4">
      <t>ノ</t>
    </rPh>
    <rPh sb="4" eb="6">
      <t>ジンイン</t>
    </rPh>
    <phoneticPr fontId="15"/>
  </si>
  <si>
    <t>（２）地目別地積の推移（土地）</t>
    <rPh sb="3" eb="5">
      <t>チモク</t>
    </rPh>
    <rPh sb="5" eb="6">
      <t>ベツ</t>
    </rPh>
    <rPh sb="6" eb="7">
      <t>チ</t>
    </rPh>
    <rPh sb="7" eb="8">
      <t>セキ</t>
    </rPh>
    <rPh sb="9" eb="11">
      <t>スイイ</t>
    </rPh>
    <rPh sb="12" eb="14">
      <t>トチ</t>
    </rPh>
    <phoneticPr fontId="1"/>
  </si>
  <si>
    <t>田</t>
    <rPh sb="0" eb="1">
      <t>タ</t>
    </rPh>
    <phoneticPr fontId="15"/>
  </si>
  <si>
    <t>畑</t>
    <rPh sb="0" eb="1">
      <t>ハタ</t>
    </rPh>
    <phoneticPr fontId="15"/>
  </si>
  <si>
    <t>宅地</t>
    <rPh sb="0" eb="1">
      <t>タク</t>
    </rPh>
    <rPh sb="1" eb="2">
      <t>チ</t>
    </rPh>
    <phoneticPr fontId="15"/>
  </si>
  <si>
    <t>鉱泉地</t>
    <rPh sb="0" eb="2">
      <t>コウセン</t>
    </rPh>
    <rPh sb="2" eb="3">
      <t>チ</t>
    </rPh>
    <phoneticPr fontId="15"/>
  </si>
  <si>
    <t>池沼</t>
    <rPh sb="0" eb="2">
      <t>イケヌマ</t>
    </rPh>
    <phoneticPr fontId="15"/>
  </si>
  <si>
    <t>山林</t>
    <rPh sb="0" eb="2">
      <t>サンリン</t>
    </rPh>
    <phoneticPr fontId="15"/>
  </si>
  <si>
    <t>原野</t>
    <rPh sb="0" eb="2">
      <t>ゲンヤ</t>
    </rPh>
    <phoneticPr fontId="1"/>
  </si>
  <si>
    <t>雑種地</t>
    <rPh sb="0" eb="2">
      <t>ザッシュ</t>
    </rPh>
    <rPh sb="2" eb="3">
      <t>チ</t>
    </rPh>
    <phoneticPr fontId="1"/>
  </si>
  <si>
    <t>ゴルフ場
の用地</t>
    <rPh sb="3" eb="4">
      <t>ジョウ</t>
    </rPh>
    <rPh sb="6" eb="8">
      <t>ヨウチ</t>
    </rPh>
    <phoneticPr fontId="1"/>
  </si>
  <si>
    <t>遊園地等
の用地</t>
    <rPh sb="0" eb="3">
      <t>ユウエンチ</t>
    </rPh>
    <rPh sb="3" eb="4">
      <t>トウ</t>
    </rPh>
    <rPh sb="6" eb="8">
      <t>ヨウチ</t>
    </rPh>
    <phoneticPr fontId="1"/>
  </si>
  <si>
    <t>鉄軌道
用地</t>
    <rPh sb="0" eb="1">
      <t>テツ</t>
    </rPh>
    <rPh sb="1" eb="3">
      <t>キドウ</t>
    </rPh>
    <rPh sb="4" eb="6">
      <t>ヨウチ</t>
    </rPh>
    <rPh sb="5" eb="6">
      <t>チ</t>
    </rPh>
    <phoneticPr fontId="1"/>
  </si>
  <si>
    <t>その他の
雑種地</t>
    <rPh sb="2" eb="3">
      <t>ホカ</t>
    </rPh>
    <rPh sb="5" eb="7">
      <t>ザッシュ</t>
    </rPh>
    <rPh sb="7" eb="8">
      <t>チ</t>
    </rPh>
    <phoneticPr fontId="1"/>
  </si>
  <si>
    <t>宅地以外
の計</t>
    <rPh sb="0" eb="2">
      <t>タクチ</t>
    </rPh>
    <rPh sb="2" eb="4">
      <t>イガイ</t>
    </rPh>
    <rPh sb="6" eb="7">
      <t>ケイ</t>
    </rPh>
    <phoneticPr fontId="1"/>
  </si>
  <si>
    <t>（３）地目別筆数の推移（土地）</t>
    <rPh sb="3" eb="5">
      <t>チモク</t>
    </rPh>
    <rPh sb="5" eb="6">
      <t>ベツ</t>
    </rPh>
    <rPh sb="6" eb="7">
      <t>フデ</t>
    </rPh>
    <rPh sb="7" eb="8">
      <t>スウ</t>
    </rPh>
    <rPh sb="9" eb="11">
      <t>スイイ</t>
    </rPh>
    <rPh sb="12" eb="14">
      <t>トチ</t>
    </rPh>
    <phoneticPr fontId="1"/>
  </si>
  <si>
    <t>（単位：筆）</t>
    <rPh sb="1" eb="3">
      <t>タンイ</t>
    </rPh>
    <rPh sb="4" eb="5">
      <t>フデ</t>
    </rPh>
    <phoneticPr fontId="1"/>
  </si>
  <si>
    <t>（４）地目別決定価格の推移（土地）</t>
    <rPh sb="3" eb="5">
      <t>チモク</t>
    </rPh>
    <rPh sb="5" eb="6">
      <t>ベツ</t>
    </rPh>
    <rPh sb="6" eb="8">
      <t>ケッテイ</t>
    </rPh>
    <rPh sb="8" eb="10">
      <t>カカク</t>
    </rPh>
    <rPh sb="11" eb="13">
      <t>スイイ</t>
    </rPh>
    <rPh sb="14" eb="16">
      <t>トチ</t>
    </rPh>
    <phoneticPr fontId="1"/>
  </si>
  <si>
    <t>（単位：千円）</t>
    <rPh sb="4" eb="6">
      <t>センエン</t>
    </rPh>
    <phoneticPr fontId="1"/>
  </si>
  <si>
    <t>（５）地目別課税標準額の推移（土地）</t>
    <rPh sb="3" eb="5">
      <t>チモク</t>
    </rPh>
    <rPh sb="5" eb="6">
      <t>ベツ</t>
    </rPh>
    <rPh sb="6" eb="8">
      <t>カゼイ</t>
    </rPh>
    <rPh sb="8" eb="10">
      <t>ヒョウジュン</t>
    </rPh>
    <rPh sb="10" eb="11">
      <t>ガク</t>
    </rPh>
    <rPh sb="12" eb="14">
      <t>スイイ</t>
    </rPh>
    <rPh sb="15" eb="17">
      <t>トチ</t>
    </rPh>
    <phoneticPr fontId="1"/>
  </si>
  <si>
    <t>（６）棟数・床面積・決定価格・課税標準額の推移（家屋）</t>
    <rPh sb="3" eb="5">
      <t>トウスウ</t>
    </rPh>
    <rPh sb="6" eb="9">
      <t>ユカメンセキ</t>
    </rPh>
    <rPh sb="10" eb="12">
      <t>ケッテイ</t>
    </rPh>
    <rPh sb="12" eb="14">
      <t>カカク</t>
    </rPh>
    <rPh sb="15" eb="17">
      <t>カゼイ</t>
    </rPh>
    <rPh sb="17" eb="19">
      <t>ヒョウジュン</t>
    </rPh>
    <rPh sb="19" eb="20">
      <t>ガク</t>
    </rPh>
    <rPh sb="21" eb="23">
      <t>スイイ</t>
    </rPh>
    <rPh sb="24" eb="26">
      <t>カオク</t>
    </rPh>
    <phoneticPr fontId="1"/>
  </si>
  <si>
    <t>（注）「固定資産概要調書」をもとに記載している。</t>
    <phoneticPr fontId="1"/>
  </si>
  <si>
    <t>（注）「固定資産概要調書」をもとに、法定免税点以上のものについて記載している。</t>
    <phoneticPr fontId="1"/>
  </si>
  <si>
    <t>木造</t>
    <rPh sb="0" eb="2">
      <t>モクゾウ</t>
    </rPh>
    <phoneticPr fontId="15"/>
  </si>
  <si>
    <t>非木造</t>
    <rPh sb="0" eb="1">
      <t>ヒ</t>
    </rPh>
    <rPh sb="1" eb="3">
      <t>モクゾウ</t>
    </rPh>
    <phoneticPr fontId="15"/>
  </si>
  <si>
    <t>棟数</t>
    <rPh sb="0" eb="2">
      <t>トウスウ</t>
    </rPh>
    <phoneticPr fontId="1"/>
  </si>
  <si>
    <t>床面積（㎡）</t>
    <rPh sb="0" eb="3">
      <t>ユカメンセキ</t>
    </rPh>
    <phoneticPr fontId="1"/>
  </si>
  <si>
    <t>決定価格（千円）</t>
    <rPh sb="0" eb="2">
      <t>ケッテイ</t>
    </rPh>
    <rPh sb="2" eb="4">
      <t>カカク</t>
    </rPh>
    <rPh sb="5" eb="7">
      <t>センエン</t>
    </rPh>
    <phoneticPr fontId="1"/>
  </si>
  <si>
    <t>課税標準額（千円）</t>
    <rPh sb="0" eb="2">
      <t>カゼイ</t>
    </rPh>
    <rPh sb="2" eb="4">
      <t>ヒョウジュン</t>
    </rPh>
    <rPh sb="4" eb="5">
      <t>ガク</t>
    </rPh>
    <rPh sb="6" eb="8">
      <t>センエン</t>
    </rPh>
    <phoneticPr fontId="1"/>
  </si>
  <si>
    <t>（７）決定価格の推移（償却資産）</t>
    <rPh sb="3" eb="5">
      <t>ケッテイ</t>
    </rPh>
    <rPh sb="5" eb="7">
      <t>カカク</t>
    </rPh>
    <rPh sb="8" eb="10">
      <t>スイイ</t>
    </rPh>
    <rPh sb="11" eb="13">
      <t>ショウキャク</t>
    </rPh>
    <rPh sb="13" eb="15">
      <t>シサン</t>
    </rPh>
    <phoneticPr fontId="1"/>
  </si>
  <si>
    <t>構築物</t>
    <rPh sb="0" eb="2">
      <t>コウチク</t>
    </rPh>
    <rPh sb="2" eb="3">
      <t>ブツ</t>
    </rPh>
    <phoneticPr fontId="15"/>
  </si>
  <si>
    <t>機械及び装置</t>
    <rPh sb="0" eb="2">
      <t>キカイ</t>
    </rPh>
    <rPh sb="2" eb="3">
      <t>オヨ</t>
    </rPh>
    <rPh sb="4" eb="6">
      <t>ソウチ</t>
    </rPh>
    <phoneticPr fontId="15"/>
  </si>
  <si>
    <t>船舶</t>
    <rPh sb="0" eb="2">
      <t>センパク</t>
    </rPh>
    <phoneticPr fontId="15"/>
  </si>
  <si>
    <t>航空機</t>
    <rPh sb="0" eb="3">
      <t>コウクウキ</t>
    </rPh>
    <phoneticPr fontId="15"/>
  </si>
  <si>
    <t>車両及び運搬具</t>
    <rPh sb="0" eb="2">
      <t>シャリョウ</t>
    </rPh>
    <rPh sb="2" eb="3">
      <t>オヨ</t>
    </rPh>
    <rPh sb="4" eb="6">
      <t>ウンパン</t>
    </rPh>
    <rPh sb="6" eb="7">
      <t>グ</t>
    </rPh>
    <phoneticPr fontId="15"/>
  </si>
  <si>
    <t>工具器具、備品</t>
    <rPh sb="0" eb="2">
      <t>コウグ</t>
    </rPh>
    <rPh sb="2" eb="4">
      <t>キグ</t>
    </rPh>
    <rPh sb="5" eb="7">
      <t>ビヒン</t>
    </rPh>
    <phoneticPr fontId="15"/>
  </si>
  <si>
    <t>総務大臣配分</t>
    <rPh sb="0" eb="2">
      <t>ソウム</t>
    </rPh>
    <rPh sb="2" eb="4">
      <t>ダイジン</t>
    </rPh>
    <rPh sb="4" eb="6">
      <t>ハイブン</t>
    </rPh>
    <phoneticPr fontId="15"/>
  </si>
  <si>
    <t>県知事配分</t>
    <rPh sb="0" eb="3">
      <t>ケンチジ</t>
    </rPh>
    <rPh sb="3" eb="5">
      <t>ハイブン</t>
    </rPh>
    <phoneticPr fontId="15"/>
  </si>
  <si>
    <t>合計</t>
    <rPh sb="0" eb="2">
      <t>ゴウケイ</t>
    </rPh>
    <phoneticPr fontId="15"/>
  </si>
  <si>
    <t>市長決定分</t>
    <rPh sb="0" eb="2">
      <t>シチョウ</t>
    </rPh>
    <rPh sb="2" eb="4">
      <t>ケッテイ</t>
    </rPh>
    <rPh sb="4" eb="5">
      <t>ブン</t>
    </rPh>
    <phoneticPr fontId="1"/>
  </si>
  <si>
    <t>配分分</t>
    <rPh sb="0" eb="2">
      <t>ハイブン</t>
    </rPh>
    <rPh sb="2" eb="3">
      <t>ブン</t>
    </rPh>
    <phoneticPr fontId="1"/>
  </si>
  <si>
    <t>（８）課税標準額の推移（償却資産）</t>
    <rPh sb="3" eb="8">
      <t>カゼイヒョウジュンガク</t>
    </rPh>
    <rPh sb="9" eb="11">
      <t>スイイ</t>
    </rPh>
    <rPh sb="12" eb="14">
      <t>ショウキャク</t>
    </rPh>
    <rPh sb="14" eb="16">
      <t>シサン</t>
    </rPh>
    <phoneticPr fontId="1"/>
  </si>
  <si>
    <t>（９）国有資産等所在市町村交付金の推移</t>
    <rPh sb="3" eb="5">
      <t>コクユウ</t>
    </rPh>
    <rPh sb="5" eb="7">
      <t>シサン</t>
    </rPh>
    <rPh sb="7" eb="8">
      <t>トウ</t>
    </rPh>
    <rPh sb="8" eb="10">
      <t>ショザイ</t>
    </rPh>
    <rPh sb="10" eb="13">
      <t>シチョウソン</t>
    </rPh>
    <rPh sb="13" eb="16">
      <t>コウフキン</t>
    </rPh>
    <rPh sb="17" eb="19">
      <t>スイイ</t>
    </rPh>
    <phoneticPr fontId="1"/>
  </si>
  <si>
    <t>国分</t>
    <rPh sb="0" eb="1">
      <t>クニ</t>
    </rPh>
    <rPh sb="1" eb="2">
      <t>ブン</t>
    </rPh>
    <phoneticPr fontId="15"/>
  </si>
  <si>
    <t>地方公共団体分</t>
    <rPh sb="0" eb="2">
      <t>チホウ</t>
    </rPh>
    <rPh sb="2" eb="4">
      <t>コウキョウ</t>
    </rPh>
    <rPh sb="4" eb="6">
      <t>ダンタイ</t>
    </rPh>
    <rPh sb="6" eb="7">
      <t>ブン</t>
    </rPh>
    <phoneticPr fontId="15"/>
  </si>
  <si>
    <t>（兵庫県分内書）</t>
    <rPh sb="1" eb="3">
      <t>ヒョウゴ</t>
    </rPh>
    <rPh sb="3" eb="4">
      <t>ケン</t>
    </rPh>
    <rPh sb="4" eb="5">
      <t>ブン</t>
    </rPh>
    <rPh sb="5" eb="6">
      <t>ナイ</t>
    </rPh>
    <rPh sb="6" eb="7">
      <t>ショ</t>
    </rPh>
    <phoneticPr fontId="15"/>
  </si>
  <si>
    <t>４　軽自動車税</t>
    <rPh sb="2" eb="6">
      <t>ケイジドウシャ</t>
    </rPh>
    <rPh sb="6" eb="7">
      <t>ゼイ</t>
    </rPh>
    <phoneticPr fontId="1"/>
  </si>
  <si>
    <t>（１）登録台数の推移（賦課期日現在）</t>
    <rPh sb="3" eb="5">
      <t>トウロク</t>
    </rPh>
    <rPh sb="5" eb="7">
      <t>ダイスウ</t>
    </rPh>
    <rPh sb="8" eb="10">
      <t>スイイ</t>
    </rPh>
    <rPh sb="11" eb="13">
      <t>フカ</t>
    </rPh>
    <rPh sb="13" eb="15">
      <t>キジツ</t>
    </rPh>
    <rPh sb="15" eb="17">
      <t>ゲンザイ</t>
    </rPh>
    <phoneticPr fontId="1"/>
  </si>
  <si>
    <t>原動機付自転車</t>
    <rPh sb="0" eb="3">
      <t>ゲンドウキ</t>
    </rPh>
    <rPh sb="3" eb="4">
      <t>ツキ</t>
    </rPh>
    <rPh sb="4" eb="7">
      <t>ジテンシャ</t>
    </rPh>
    <phoneticPr fontId="2"/>
  </si>
  <si>
    <t>２　輪</t>
    <rPh sb="2" eb="3">
      <t>リン</t>
    </rPh>
    <phoneticPr fontId="2"/>
  </si>
  <si>
    <t>（乗用）</t>
    <rPh sb="1" eb="3">
      <t>ジョウヨウ</t>
    </rPh>
    <phoneticPr fontId="2"/>
  </si>
  <si>
    <t>営業用</t>
    <rPh sb="0" eb="3">
      <t>エイギョウヨウ</t>
    </rPh>
    <phoneticPr fontId="2"/>
  </si>
  <si>
    <t>自家用</t>
    <rPh sb="0" eb="3">
      <t>ジカヨウ</t>
    </rPh>
    <phoneticPr fontId="2"/>
  </si>
  <si>
    <t>（貨物）</t>
    <rPh sb="1" eb="3">
      <t>カモツ</t>
    </rPh>
    <phoneticPr fontId="2"/>
  </si>
  <si>
    <t>小型特殊</t>
    <rPh sb="0" eb="2">
      <t>コガタ</t>
    </rPh>
    <rPh sb="2" eb="4">
      <t>トクシュ</t>
    </rPh>
    <phoneticPr fontId="2"/>
  </si>
  <si>
    <t>一　　　般</t>
    <rPh sb="0" eb="5">
      <t>イッパン</t>
    </rPh>
    <phoneticPr fontId="2"/>
  </si>
  <si>
    <t>電　　　気</t>
    <rPh sb="0" eb="5">
      <t>デンキ</t>
    </rPh>
    <phoneticPr fontId="2"/>
  </si>
  <si>
    <t>一般
（旧税率適用分）</t>
    <rPh sb="0" eb="2">
      <t>イッパン</t>
    </rPh>
    <rPh sb="4" eb="5">
      <t>キュウ</t>
    </rPh>
    <rPh sb="5" eb="7">
      <t>ゼイリツ</t>
    </rPh>
    <rPh sb="7" eb="9">
      <t>テキヨウ</t>
    </rPh>
    <rPh sb="9" eb="10">
      <t>ブン</t>
    </rPh>
    <phoneticPr fontId="2"/>
  </si>
  <si>
    <t>一般
（新税率適用分）</t>
    <rPh sb="0" eb="2">
      <t>イッパン</t>
    </rPh>
    <rPh sb="4" eb="7">
      <t>シンゼイリツ</t>
    </rPh>
    <rPh sb="7" eb="9">
      <t>テキヨウ</t>
    </rPh>
    <rPh sb="9" eb="10">
      <t>ブン</t>
    </rPh>
    <phoneticPr fontId="2"/>
  </si>
  <si>
    <t>一般
（重課適用分）</t>
    <rPh sb="0" eb="2">
      <t>イッパン</t>
    </rPh>
    <rPh sb="4" eb="6">
      <t>ジュウカ</t>
    </rPh>
    <rPh sb="6" eb="8">
      <t>テキヨウ</t>
    </rPh>
    <rPh sb="8" eb="9">
      <t>ブン</t>
    </rPh>
    <phoneticPr fontId="2"/>
  </si>
  <si>
    <t>一般
（軽課75％適用分）</t>
    <rPh sb="0" eb="2">
      <t>イッパン</t>
    </rPh>
    <rPh sb="4" eb="5">
      <t>カル</t>
    </rPh>
    <rPh sb="5" eb="6">
      <t>カ</t>
    </rPh>
    <rPh sb="9" eb="11">
      <t>テキヨウ</t>
    </rPh>
    <rPh sb="11" eb="12">
      <t>ブン</t>
    </rPh>
    <phoneticPr fontId="2"/>
  </si>
  <si>
    <t>一般
（軽課50％適用分）</t>
    <rPh sb="0" eb="2">
      <t>イッパン</t>
    </rPh>
    <rPh sb="4" eb="5">
      <t>カル</t>
    </rPh>
    <rPh sb="5" eb="6">
      <t>カ</t>
    </rPh>
    <rPh sb="9" eb="11">
      <t>テキヨウ</t>
    </rPh>
    <rPh sb="11" eb="12">
      <t>ブン</t>
    </rPh>
    <phoneticPr fontId="2"/>
  </si>
  <si>
    <t>一般
（軽課25％適用分）</t>
    <rPh sb="0" eb="2">
      <t>イッパン</t>
    </rPh>
    <rPh sb="4" eb="5">
      <t>カル</t>
    </rPh>
    <rPh sb="5" eb="6">
      <t>カ</t>
    </rPh>
    <rPh sb="9" eb="11">
      <t>テキヨウ</t>
    </rPh>
    <rPh sb="11" eb="12">
      <t>ブン</t>
    </rPh>
    <phoneticPr fontId="2"/>
  </si>
  <si>
    <t>電気
（旧税率適用分）</t>
    <rPh sb="0" eb="1">
      <t>デン</t>
    </rPh>
    <rPh sb="1" eb="2">
      <t>キ</t>
    </rPh>
    <rPh sb="4" eb="5">
      <t>キュウ</t>
    </rPh>
    <rPh sb="5" eb="7">
      <t>ゼイリツ</t>
    </rPh>
    <rPh sb="7" eb="9">
      <t>テキヨウ</t>
    </rPh>
    <rPh sb="9" eb="10">
      <t>ブン</t>
    </rPh>
    <phoneticPr fontId="2"/>
  </si>
  <si>
    <t>電気
（新税率適用分）</t>
    <rPh sb="0" eb="1">
      <t>デン</t>
    </rPh>
    <rPh sb="1" eb="2">
      <t>キ</t>
    </rPh>
    <rPh sb="4" eb="7">
      <t>シンゼイリツ</t>
    </rPh>
    <rPh sb="7" eb="9">
      <t>テキヨウ</t>
    </rPh>
    <rPh sb="9" eb="10">
      <t>ブン</t>
    </rPh>
    <phoneticPr fontId="2"/>
  </si>
  <si>
    <t>電気
（重課適用分）</t>
    <rPh sb="0" eb="1">
      <t>デン</t>
    </rPh>
    <rPh sb="1" eb="2">
      <t>キ</t>
    </rPh>
    <rPh sb="4" eb="6">
      <t>ジュウカ</t>
    </rPh>
    <rPh sb="6" eb="8">
      <t>テキヨウ</t>
    </rPh>
    <rPh sb="8" eb="9">
      <t>ブン</t>
    </rPh>
    <phoneticPr fontId="2"/>
  </si>
  <si>
    <t>電気
（軽課75％適用分）</t>
    <rPh sb="0" eb="1">
      <t>デン</t>
    </rPh>
    <rPh sb="1" eb="2">
      <t>キ</t>
    </rPh>
    <rPh sb="4" eb="5">
      <t>カル</t>
    </rPh>
    <rPh sb="5" eb="6">
      <t>カ</t>
    </rPh>
    <rPh sb="9" eb="11">
      <t>テキヨウ</t>
    </rPh>
    <rPh sb="11" eb="12">
      <t>ブン</t>
    </rPh>
    <phoneticPr fontId="2"/>
  </si>
  <si>
    <t>電気
（軽課50％適用分）</t>
    <rPh sb="0" eb="1">
      <t>デン</t>
    </rPh>
    <rPh sb="1" eb="2">
      <t>キ</t>
    </rPh>
    <rPh sb="4" eb="5">
      <t>カル</t>
    </rPh>
    <rPh sb="5" eb="6">
      <t>カ</t>
    </rPh>
    <rPh sb="9" eb="11">
      <t>テキヨウ</t>
    </rPh>
    <rPh sb="11" eb="12">
      <t>ブン</t>
    </rPh>
    <phoneticPr fontId="2"/>
  </si>
  <si>
    <t>電気
（軽課25％適用分）</t>
    <rPh sb="0" eb="1">
      <t>デン</t>
    </rPh>
    <rPh sb="1" eb="2">
      <t>キ</t>
    </rPh>
    <rPh sb="4" eb="5">
      <t>カル</t>
    </rPh>
    <rPh sb="5" eb="6">
      <t>カ</t>
    </rPh>
    <rPh sb="9" eb="11">
      <t>テキヨウ</t>
    </rPh>
    <rPh sb="11" eb="12">
      <t>ブン</t>
    </rPh>
    <phoneticPr fontId="2"/>
  </si>
  <si>
    <t>軽自動車</t>
    <rPh sb="0" eb="4">
      <t>ケイジドウシャ</t>
    </rPh>
    <phoneticPr fontId="2"/>
  </si>
  <si>
    <t>２輪の小型自動車</t>
    <rPh sb="1" eb="2">
      <t>リン</t>
    </rPh>
    <rPh sb="3" eb="5">
      <t>コガタ</t>
    </rPh>
    <rPh sb="5" eb="8">
      <t>ジドウシャ</t>
    </rPh>
    <phoneticPr fontId="2"/>
  </si>
  <si>
    <t>合計</t>
    <rPh sb="0" eb="2">
      <t>ゴウケイ</t>
    </rPh>
    <phoneticPr fontId="2"/>
  </si>
  <si>
    <t>４輪</t>
    <rPh sb="1" eb="2">
      <t>リン</t>
    </rPh>
    <phoneticPr fontId="2"/>
  </si>
  <si>
    <t>農耕作業用</t>
    <rPh sb="0" eb="1">
      <t>ノウ</t>
    </rPh>
    <rPh sb="1" eb="2">
      <t>コウ</t>
    </rPh>
    <rPh sb="2" eb="4">
      <t>サギョウ</t>
    </rPh>
    <rPh sb="3" eb="4">
      <t>ギョウ</t>
    </rPh>
    <rPh sb="4" eb="5">
      <t>ヨウ</t>
    </rPh>
    <phoneticPr fontId="2"/>
  </si>
  <si>
    <t>３輪</t>
    <rPh sb="1" eb="2">
      <t>リン</t>
    </rPh>
    <phoneticPr fontId="2"/>
  </si>
  <si>
    <t>総排気量　50cc以下</t>
    <rPh sb="0" eb="4">
      <t>ソウハイキリョウ</t>
    </rPh>
    <rPh sb="9" eb="11">
      <t>イカ</t>
    </rPh>
    <phoneticPr fontId="2"/>
  </si>
  <si>
    <t>総排気量　50cc超 90cc以下</t>
    <rPh sb="0" eb="4">
      <t>ソウハイキリョウ</t>
    </rPh>
    <rPh sb="9" eb="10">
      <t>チョウ</t>
    </rPh>
    <rPh sb="15" eb="17">
      <t>イカ</t>
    </rPh>
    <phoneticPr fontId="2"/>
  </si>
  <si>
    <t>総排気量　90cc超 125cc以下</t>
    <rPh sb="0" eb="4">
      <t>ソウハイキリョウ</t>
    </rPh>
    <rPh sb="9" eb="10">
      <t>チョウ</t>
    </rPh>
    <phoneticPr fontId="2"/>
  </si>
  <si>
    <t>ミニカー　50cc以下</t>
    <rPh sb="9" eb="11">
      <t>イカ</t>
    </rPh>
    <phoneticPr fontId="2"/>
  </si>
  <si>
    <t>定格出力　600W以下</t>
    <rPh sb="0" eb="2">
      <t>テイカク</t>
    </rPh>
    <rPh sb="2" eb="4">
      <t>シュツリョク</t>
    </rPh>
    <phoneticPr fontId="2"/>
  </si>
  <si>
    <t>ミニカー　600W以下</t>
    <phoneticPr fontId="2"/>
  </si>
  <si>
    <t>（単位：台）</t>
    <rPh sb="1" eb="3">
      <t>タンイ</t>
    </rPh>
    <rPh sb="4" eb="5">
      <t>ダイ</t>
    </rPh>
    <phoneticPr fontId="1"/>
  </si>
  <si>
    <t>令和２年度</t>
    <rPh sb="0" eb="2">
      <t>レイワ</t>
    </rPh>
    <rPh sb="3" eb="5">
      <t>ネンド</t>
    </rPh>
    <phoneticPr fontId="15"/>
  </si>
  <si>
    <t>令和元年度</t>
    <rPh sb="0" eb="2">
      <t>レイワ</t>
    </rPh>
    <rPh sb="2" eb="3">
      <t>ガン</t>
    </rPh>
    <rPh sb="3" eb="5">
      <t>ネンド</t>
    </rPh>
    <phoneticPr fontId="15"/>
  </si>
  <si>
    <t>平成30年度</t>
    <rPh sb="0" eb="2">
      <t>ヘイセイ</t>
    </rPh>
    <rPh sb="4" eb="6">
      <t>ネンド</t>
    </rPh>
    <phoneticPr fontId="15"/>
  </si>
  <si>
    <t>平成29年度</t>
    <rPh sb="0" eb="2">
      <t>ヘイセイ</t>
    </rPh>
    <rPh sb="4" eb="6">
      <t>ネンド</t>
    </rPh>
    <phoneticPr fontId="15"/>
  </si>
  <si>
    <t>（乗用）</t>
    <phoneticPr fontId="1"/>
  </si>
  <si>
    <t>（貨物）</t>
    <phoneticPr fontId="1"/>
  </si>
  <si>
    <t>４輪</t>
    <phoneticPr fontId="1"/>
  </si>
  <si>
    <t>（２）課税台数の推移（賦課期日現在）</t>
    <rPh sb="3" eb="5">
      <t>カゼイ</t>
    </rPh>
    <rPh sb="5" eb="7">
      <t>ダイスウ</t>
    </rPh>
    <rPh sb="8" eb="10">
      <t>スイイ</t>
    </rPh>
    <rPh sb="11" eb="13">
      <t>フカ</t>
    </rPh>
    <rPh sb="13" eb="15">
      <t>キジツ</t>
    </rPh>
    <rPh sb="15" eb="17">
      <t>ゲンザイ</t>
    </rPh>
    <phoneticPr fontId="1"/>
  </si>
  <si>
    <t>納税義務者数</t>
    <rPh sb="0" eb="2">
      <t>ノウゼイ</t>
    </rPh>
    <rPh sb="2" eb="5">
      <t>ギムシャ</t>
    </rPh>
    <rPh sb="5" eb="6">
      <t>スウ</t>
    </rPh>
    <phoneticPr fontId="1"/>
  </si>
  <si>
    <t>（３）免除・非課税台数の推移（賦課期日現在）</t>
    <rPh sb="3" eb="5">
      <t>メンジョ</t>
    </rPh>
    <rPh sb="6" eb="7">
      <t>ヒ</t>
    </rPh>
    <rPh sb="7" eb="9">
      <t>カゼイ</t>
    </rPh>
    <rPh sb="9" eb="11">
      <t>ダイスウ</t>
    </rPh>
    <rPh sb="12" eb="14">
      <t>スイイ</t>
    </rPh>
    <rPh sb="15" eb="17">
      <t>フカ</t>
    </rPh>
    <rPh sb="17" eb="19">
      <t>キジツ</t>
    </rPh>
    <rPh sb="19" eb="21">
      <t>ゲンザイ</t>
    </rPh>
    <phoneticPr fontId="1"/>
  </si>
  <si>
    <t>免除</t>
    <rPh sb="0" eb="2">
      <t>メンジョ</t>
    </rPh>
    <phoneticPr fontId="1"/>
  </si>
  <si>
    <t>非課税</t>
    <rPh sb="0" eb="3">
      <t>ヒカゼイ</t>
    </rPh>
    <phoneticPr fontId="1"/>
  </si>
  <si>
    <t>（４）車種別調定額の推移（賦課期日現在）</t>
    <rPh sb="3" eb="5">
      <t>シャシュ</t>
    </rPh>
    <rPh sb="5" eb="6">
      <t>ベツ</t>
    </rPh>
    <rPh sb="6" eb="9">
      <t>チョウテイガク</t>
    </rPh>
    <rPh sb="10" eb="12">
      <t>スイイ</t>
    </rPh>
    <rPh sb="13" eb="15">
      <t>フカ</t>
    </rPh>
    <rPh sb="15" eb="17">
      <t>キジツ</t>
    </rPh>
    <rPh sb="17" eb="19">
      <t>ゲンザイ</t>
    </rPh>
    <phoneticPr fontId="1"/>
  </si>
  <si>
    <t>５　その他の税</t>
    <rPh sb="4" eb="5">
      <t>ホカ</t>
    </rPh>
    <rPh sb="6" eb="7">
      <t>ゼイ</t>
    </rPh>
    <phoneticPr fontId="1"/>
  </si>
  <si>
    <t>（１）市たばこ税調定額等の推移</t>
    <rPh sb="3" eb="4">
      <t>シ</t>
    </rPh>
    <rPh sb="7" eb="8">
      <t>ゼイ</t>
    </rPh>
    <rPh sb="8" eb="11">
      <t>チョウテイガク</t>
    </rPh>
    <rPh sb="11" eb="12">
      <t>トウ</t>
    </rPh>
    <rPh sb="13" eb="15">
      <t>スイイ</t>
    </rPh>
    <phoneticPr fontId="1"/>
  </si>
  <si>
    <t>紙巻たばこ等</t>
    <phoneticPr fontId="2"/>
  </si>
  <si>
    <t>～2.9  5,692円/千本</t>
    <phoneticPr fontId="2"/>
  </si>
  <si>
    <t>2.10～  6,122円/千本</t>
    <phoneticPr fontId="2"/>
  </si>
  <si>
    <t>件</t>
    <rPh sb="0" eb="1">
      <t>ケン</t>
    </rPh>
    <phoneticPr fontId="2"/>
  </si>
  <si>
    <t>売渡本数（千本）</t>
    <rPh sb="0" eb="1">
      <t>ウ</t>
    </rPh>
    <rPh sb="1" eb="2">
      <t>ワタ</t>
    </rPh>
    <rPh sb="2" eb="4">
      <t>ホンスウ</t>
    </rPh>
    <rPh sb="5" eb="7">
      <t>センホン</t>
    </rPh>
    <phoneticPr fontId="1"/>
  </si>
  <si>
    <t>前年比（％）</t>
    <rPh sb="0" eb="3">
      <t>ゼンネンヒ</t>
    </rPh>
    <phoneticPr fontId="1"/>
  </si>
  <si>
    <t>税率</t>
    <rPh sb="0" eb="2">
      <t>ゼイリツ</t>
    </rPh>
    <phoneticPr fontId="1"/>
  </si>
  <si>
    <t>４月</t>
    <rPh sb="1" eb="2">
      <t>ガツ</t>
    </rPh>
    <phoneticPr fontId="1"/>
  </si>
  <si>
    <t>５月</t>
  </si>
  <si>
    <t>６月</t>
  </si>
  <si>
    <t>７月</t>
  </si>
  <si>
    <t>８月</t>
  </si>
  <si>
    <t>９月</t>
  </si>
  <si>
    <t>１月</t>
  </si>
  <si>
    <t>２月</t>
  </si>
  <si>
    <t>３月</t>
  </si>
  <si>
    <t>10月</t>
    <phoneticPr fontId="1"/>
  </si>
  <si>
    <t>11月</t>
    <phoneticPr fontId="1"/>
  </si>
  <si>
    <t>12月</t>
    <phoneticPr fontId="1"/>
  </si>
  <si>
    <t>調定月額</t>
    <rPh sb="0" eb="2">
      <t>チョウテイ</t>
    </rPh>
    <rPh sb="2" eb="3">
      <t>ゲツ</t>
    </rPh>
    <rPh sb="3" eb="4">
      <t>ガク</t>
    </rPh>
    <phoneticPr fontId="1"/>
  </si>
  <si>
    <t>小計</t>
    <rPh sb="0" eb="2">
      <t>ショウケイ</t>
    </rPh>
    <phoneticPr fontId="1"/>
  </si>
  <si>
    <t>手持品課税分</t>
    <rPh sb="0" eb="2">
      <t>テモ</t>
    </rPh>
    <rPh sb="2" eb="3">
      <t>シナ</t>
    </rPh>
    <rPh sb="3" eb="5">
      <t>カゼイ</t>
    </rPh>
    <rPh sb="5" eb="6">
      <t>ブン</t>
    </rPh>
    <phoneticPr fontId="1"/>
  </si>
  <si>
    <t>１ヶ月平均</t>
    <rPh sb="2" eb="3">
      <t>ゲツ</t>
    </rPh>
    <rPh sb="3" eb="5">
      <t>ヘイキン</t>
    </rPh>
    <phoneticPr fontId="1"/>
  </si>
  <si>
    <t>5,692円/千本</t>
    <phoneticPr fontId="2"/>
  </si>
  <si>
    <t>旧3級品紙巻たばこ</t>
    <phoneticPr fontId="2"/>
  </si>
  <si>
    <t>～元.9  4,000円/千本</t>
    <rPh sb="1" eb="2">
      <t>ゲン</t>
    </rPh>
    <phoneticPr fontId="2"/>
  </si>
  <si>
    <t>元.10～  5,692円/千本</t>
    <rPh sb="0" eb="1">
      <t>ゲン</t>
    </rPh>
    <phoneticPr fontId="2"/>
  </si>
  <si>
    <t>（元.10より「旧３級品」の区分廃止）</t>
    <rPh sb="1" eb="2">
      <t>ゲン</t>
    </rPh>
    <rPh sb="8" eb="9">
      <t>キュウ</t>
    </rPh>
    <rPh sb="10" eb="11">
      <t>キュウ</t>
    </rPh>
    <rPh sb="11" eb="12">
      <t>ヒン</t>
    </rPh>
    <rPh sb="14" eb="16">
      <t>クブン</t>
    </rPh>
    <rPh sb="16" eb="18">
      <t>ハイシ</t>
    </rPh>
    <phoneticPr fontId="2"/>
  </si>
  <si>
    <t>紙巻たばこ等</t>
    <rPh sb="0" eb="2">
      <t>カミマキ</t>
    </rPh>
    <rPh sb="5" eb="6">
      <t>トウ</t>
    </rPh>
    <phoneticPr fontId="2"/>
  </si>
  <si>
    <t>～30.9  5,262円/千本</t>
    <phoneticPr fontId="2"/>
  </si>
  <si>
    <t>30.10～  5,692円/千本</t>
    <phoneticPr fontId="2"/>
  </si>
  <si>
    <t>旧3級品紙巻たばこ</t>
    <rPh sb="0" eb="1">
      <t>キュウ</t>
    </rPh>
    <rPh sb="2" eb="3">
      <t>キュウ</t>
    </rPh>
    <rPh sb="3" eb="4">
      <t>ヒン</t>
    </rPh>
    <rPh sb="4" eb="6">
      <t>カミマキ</t>
    </rPh>
    <phoneticPr fontId="2"/>
  </si>
  <si>
    <t>4,000円/千本</t>
    <rPh sb="5" eb="6">
      <t>エン</t>
    </rPh>
    <rPh sb="7" eb="9">
      <t>センボン</t>
    </rPh>
    <phoneticPr fontId="2"/>
  </si>
  <si>
    <t>3,355円/千本</t>
    <rPh sb="5" eb="6">
      <t>エン</t>
    </rPh>
    <rPh sb="7" eb="9">
      <t>センボン</t>
    </rPh>
    <phoneticPr fontId="2"/>
  </si>
  <si>
    <t>紙巻たばこ等</t>
  </si>
  <si>
    <t>5,262円/千本</t>
    <phoneticPr fontId="2"/>
  </si>
  <si>
    <t>旧3級品紙巻たばこ</t>
  </si>
  <si>
    <t>2,925円/千本</t>
  </si>
  <si>
    <t>令和２年度</t>
    <rPh sb="0" eb="2">
      <t>レイワ</t>
    </rPh>
    <rPh sb="3" eb="4">
      <t>ネン</t>
    </rPh>
    <rPh sb="4" eb="5">
      <t>ド</t>
    </rPh>
    <phoneticPr fontId="1"/>
  </si>
  <si>
    <t>平成28年度</t>
    <rPh sb="0" eb="2">
      <t>ヘイセイ</t>
    </rPh>
    <rPh sb="4" eb="5">
      <t>ネン</t>
    </rPh>
    <rPh sb="5" eb="6">
      <t>ド</t>
    </rPh>
    <phoneticPr fontId="1"/>
  </si>
  <si>
    <t>5,262円/千本</t>
    <rPh sb="5" eb="6">
      <t>エン</t>
    </rPh>
    <rPh sb="7" eb="9">
      <t>センボン</t>
    </rPh>
    <phoneticPr fontId="1"/>
  </si>
  <si>
    <t>（２）入湯税に関する調</t>
    <rPh sb="3" eb="5">
      <t>ニュウトウ</t>
    </rPh>
    <rPh sb="5" eb="6">
      <t>ゼイ</t>
    </rPh>
    <rPh sb="7" eb="8">
      <t>カン</t>
    </rPh>
    <rPh sb="10" eb="11">
      <t>シラ</t>
    </rPh>
    <phoneticPr fontId="1"/>
  </si>
  <si>
    <t>特別徴収
義務者数</t>
    <rPh sb="0" eb="2">
      <t>トクベツ</t>
    </rPh>
    <rPh sb="2" eb="4">
      <t>チョウシュウ</t>
    </rPh>
    <rPh sb="5" eb="7">
      <t>ギム</t>
    </rPh>
    <rPh sb="7" eb="8">
      <t>シャ</t>
    </rPh>
    <rPh sb="8" eb="9">
      <t>スウ</t>
    </rPh>
    <phoneticPr fontId="1"/>
  </si>
  <si>
    <t>税額</t>
    <rPh sb="0" eb="2">
      <t>ゼイガク</t>
    </rPh>
    <phoneticPr fontId="1"/>
  </si>
  <si>
    <t>平成29年度</t>
    <rPh sb="0" eb="2">
      <t>ヘイセイ</t>
    </rPh>
    <rPh sb="4" eb="5">
      <t>ネン</t>
    </rPh>
    <rPh sb="5" eb="6">
      <t>ド</t>
    </rPh>
    <phoneticPr fontId="1"/>
  </si>
  <si>
    <t>49</t>
    <phoneticPr fontId="2"/>
  </si>
  <si>
    <t>47</t>
  </si>
  <si>
    <t>45</t>
  </si>
  <si>
    <t>43</t>
  </si>
  <si>
    <r>
      <rPr>
        <sz val="11"/>
        <rFont val="ＭＳ Ｐ明朝"/>
        <family val="1"/>
        <charset val="128"/>
      </rPr>
      <t>－</t>
    </r>
  </si>
  <si>
    <t>日帰り入湯客分</t>
    <rPh sb="0" eb="2">
      <t>ヒガエ</t>
    </rPh>
    <rPh sb="3" eb="5">
      <t>ニュウトウ</t>
    </rPh>
    <rPh sb="5" eb="6">
      <t>キャク</t>
    </rPh>
    <rPh sb="6" eb="7">
      <t>ブン</t>
    </rPh>
    <phoneticPr fontId="1"/>
  </si>
  <si>
    <t>宿泊入湯客分</t>
    <rPh sb="0" eb="2">
      <t>シュクハク</t>
    </rPh>
    <rPh sb="2" eb="4">
      <t>ニュウトウ</t>
    </rPh>
    <rPh sb="4" eb="5">
      <t>キャク</t>
    </rPh>
    <rPh sb="5" eb="6">
      <t>ブン</t>
    </rPh>
    <phoneticPr fontId="1"/>
  </si>
  <si>
    <t>（単位：人、千円）</t>
    <rPh sb="1" eb="3">
      <t>タンイ</t>
    </rPh>
    <rPh sb="4" eb="5">
      <t>ヒト</t>
    </rPh>
    <rPh sb="6" eb="8">
      <t>センエン</t>
    </rPh>
    <phoneticPr fontId="1"/>
  </si>
  <si>
    <t>（注）決算調定に係る数値である。</t>
    <rPh sb="1" eb="2">
      <t>チュウ</t>
    </rPh>
    <rPh sb="3" eb="5">
      <t>ケッサン</t>
    </rPh>
    <rPh sb="5" eb="7">
      <t>チョウテイ</t>
    </rPh>
    <rPh sb="8" eb="9">
      <t>カカ</t>
    </rPh>
    <rPh sb="10" eb="12">
      <t>スウチ</t>
    </rPh>
    <phoneticPr fontId="1"/>
  </si>
  <si>
    <t>納税義務者</t>
    <rPh sb="0" eb="2">
      <t>ノウゼイ</t>
    </rPh>
    <rPh sb="2" eb="5">
      <t>ギムシャ</t>
    </rPh>
    <phoneticPr fontId="1"/>
  </si>
  <si>
    <t>うち実人員</t>
    <rPh sb="2" eb="3">
      <t>ジツ</t>
    </rPh>
    <rPh sb="3" eb="5">
      <t>ジンイン</t>
    </rPh>
    <phoneticPr fontId="1"/>
  </si>
  <si>
    <t>事業所床面積等</t>
    <rPh sb="0" eb="2">
      <t>ジギョウ</t>
    </rPh>
    <rPh sb="2" eb="3">
      <t>ショ</t>
    </rPh>
    <rPh sb="3" eb="4">
      <t>ユカ</t>
    </rPh>
    <rPh sb="4" eb="6">
      <t>メンセキ</t>
    </rPh>
    <rPh sb="6" eb="7">
      <t>トウ</t>
    </rPh>
    <phoneticPr fontId="1"/>
  </si>
  <si>
    <t>①のうち非課税対象分</t>
    <rPh sb="4" eb="7">
      <t>ヒカゼイ</t>
    </rPh>
    <rPh sb="7" eb="9">
      <t>タイショウ</t>
    </rPh>
    <rPh sb="9" eb="10">
      <t>ブン</t>
    </rPh>
    <phoneticPr fontId="1"/>
  </si>
  <si>
    <t>②</t>
    <phoneticPr fontId="1"/>
  </si>
  <si>
    <t>①のうち課税標準の
特例対象に係る控除分</t>
    <rPh sb="4" eb="6">
      <t>カゼイ</t>
    </rPh>
    <rPh sb="6" eb="8">
      <t>ヒョウジュン</t>
    </rPh>
    <rPh sb="10" eb="12">
      <t>トクレイ</t>
    </rPh>
    <rPh sb="12" eb="14">
      <t>タイショウ</t>
    </rPh>
    <rPh sb="15" eb="16">
      <t>カカワ</t>
    </rPh>
    <rPh sb="17" eb="19">
      <t>コウジョ</t>
    </rPh>
    <rPh sb="19" eb="20">
      <t>ブン</t>
    </rPh>
    <phoneticPr fontId="1"/>
  </si>
  <si>
    <t>減免対象床面積等</t>
    <rPh sb="0" eb="2">
      <t>ゲンメン</t>
    </rPh>
    <rPh sb="2" eb="4">
      <t>タイショウ</t>
    </rPh>
    <rPh sb="4" eb="5">
      <t>ユカ</t>
    </rPh>
    <rPh sb="5" eb="7">
      <t>メンセキ</t>
    </rPh>
    <rPh sb="7" eb="8">
      <t>トウ</t>
    </rPh>
    <phoneticPr fontId="1"/>
  </si>
  <si>
    <t>調定済額</t>
    <rPh sb="0" eb="2">
      <t>チョウテイ</t>
    </rPh>
    <rPh sb="2" eb="3">
      <t>ズ</t>
    </rPh>
    <rPh sb="3" eb="4">
      <t>ガク</t>
    </rPh>
    <phoneticPr fontId="1"/>
  </si>
  <si>
    <t>収入済額</t>
    <rPh sb="0" eb="2">
      <t>シュウニュウ</t>
    </rPh>
    <rPh sb="2" eb="3">
      <t>ズ</t>
    </rPh>
    <rPh sb="3" eb="4">
      <t>ガク</t>
    </rPh>
    <phoneticPr fontId="1"/>
  </si>
  <si>
    <t>①</t>
    <phoneticPr fontId="1"/>
  </si>
  <si>
    <t>③</t>
    <phoneticPr fontId="1"/>
  </si>
  <si>
    <t>④</t>
    <phoneticPr fontId="1"/>
  </si>
  <si>
    <t>⑤</t>
    <phoneticPr fontId="1"/>
  </si>
  <si>
    <t>課税標準額
①－②－③－④</t>
    <rPh sb="0" eb="2">
      <t>カゼイ</t>
    </rPh>
    <rPh sb="2" eb="4">
      <t>ヒョウジュン</t>
    </rPh>
    <rPh sb="4" eb="5">
      <t>ガク</t>
    </rPh>
    <phoneticPr fontId="1"/>
  </si>
  <si>
    <t>現年
課税分</t>
    <rPh sb="0" eb="2">
      <t>ゲンネン</t>
    </rPh>
    <rPh sb="3" eb="5">
      <t>カゼイ</t>
    </rPh>
    <rPh sb="5" eb="6">
      <t>ブン</t>
    </rPh>
    <phoneticPr fontId="1"/>
  </si>
  <si>
    <t>滞納
繰越分</t>
    <rPh sb="0" eb="2">
      <t>タイノウ</t>
    </rPh>
    <rPh sb="3" eb="5">
      <t>クリコシ</t>
    </rPh>
    <rPh sb="5" eb="6">
      <t>ブン</t>
    </rPh>
    <phoneticPr fontId="1"/>
  </si>
  <si>
    <t>人</t>
    <rPh sb="0" eb="1">
      <t>ニン</t>
    </rPh>
    <phoneticPr fontId="2"/>
  </si>
  <si>
    <t>㎡</t>
    <phoneticPr fontId="2"/>
  </si>
  <si>
    <t>千円</t>
    <rPh sb="0" eb="2">
      <t>センエン</t>
    </rPh>
    <phoneticPr fontId="2"/>
  </si>
  <si>
    <t>資産割</t>
    <rPh sb="0" eb="2">
      <t>シサン</t>
    </rPh>
    <rPh sb="2" eb="3">
      <t>ワリ</t>
    </rPh>
    <phoneticPr fontId="1"/>
  </si>
  <si>
    <t>従業者割</t>
    <rPh sb="0" eb="3">
      <t>ジュウギョウシャ</t>
    </rPh>
    <rPh sb="3" eb="4">
      <t>ワリ</t>
    </rPh>
    <phoneticPr fontId="1"/>
  </si>
  <si>
    <t>人</t>
  </si>
  <si>
    <t>㎡</t>
  </si>
  <si>
    <t>千円</t>
  </si>
  <si>
    <r>
      <rPr>
        <sz val="11"/>
        <color theme="1"/>
        <rFont val="游ゴシック"/>
        <family val="2"/>
      </rPr>
      <t>－</t>
    </r>
  </si>
  <si>
    <t>（４）都市計画税に関する調</t>
    <rPh sb="3" eb="8">
      <t>トシケイカクゼイ</t>
    </rPh>
    <rPh sb="9" eb="10">
      <t>カン</t>
    </rPh>
    <rPh sb="12" eb="13">
      <t>シラ</t>
    </rPh>
    <phoneticPr fontId="1"/>
  </si>
  <si>
    <t>（注）「固定資産概要調書」をもとに、法定免税点以上のものについて記載している。</t>
    <rPh sb="1" eb="2">
      <t>チュウ</t>
    </rPh>
    <rPh sb="4" eb="6">
      <t>コテイ</t>
    </rPh>
    <rPh sb="6" eb="8">
      <t>シサン</t>
    </rPh>
    <rPh sb="8" eb="10">
      <t>ガイヨウ</t>
    </rPh>
    <rPh sb="10" eb="12">
      <t>チョウショ</t>
    </rPh>
    <rPh sb="18" eb="20">
      <t>ホウテイ</t>
    </rPh>
    <rPh sb="20" eb="22">
      <t>メンゼイ</t>
    </rPh>
    <rPh sb="22" eb="23">
      <t>テン</t>
    </rPh>
    <rPh sb="23" eb="25">
      <t>イジョウ</t>
    </rPh>
    <rPh sb="32" eb="34">
      <t>キサイ</t>
    </rPh>
    <phoneticPr fontId="1"/>
  </si>
  <si>
    <t>　　　「棟数」欄は、個数単位である。</t>
    <rPh sb="4" eb="6">
      <t>トウスウ</t>
    </rPh>
    <rPh sb="7" eb="8">
      <t>ラン</t>
    </rPh>
    <rPh sb="10" eb="12">
      <t>コスウ</t>
    </rPh>
    <rPh sb="12" eb="14">
      <t>タンイ</t>
    </rPh>
    <phoneticPr fontId="1"/>
  </si>
  <si>
    <t>令和３年度</t>
    <rPh sb="0" eb="2">
      <t>レイワ</t>
    </rPh>
    <rPh sb="3" eb="4">
      <t>ネン</t>
    </rPh>
    <rPh sb="4" eb="5">
      <t>ド</t>
    </rPh>
    <phoneticPr fontId="1"/>
  </si>
  <si>
    <t>土地</t>
    <rPh sb="0" eb="2">
      <t>トチ</t>
    </rPh>
    <phoneticPr fontId="1"/>
  </si>
  <si>
    <t>筆数</t>
    <rPh sb="0" eb="1">
      <t>フデ</t>
    </rPh>
    <rPh sb="1" eb="2">
      <t>スウ</t>
    </rPh>
    <phoneticPr fontId="1"/>
  </si>
  <si>
    <t>課税標準額
（百万円）</t>
    <rPh sb="0" eb="2">
      <t>カゼイ</t>
    </rPh>
    <rPh sb="2" eb="4">
      <t>ヒョウジュン</t>
    </rPh>
    <rPh sb="4" eb="5">
      <t>ガク</t>
    </rPh>
    <rPh sb="7" eb="10">
      <t>ヒャクマンエン</t>
    </rPh>
    <phoneticPr fontId="1"/>
  </si>
  <si>
    <t>地積
（千㎡）</t>
    <rPh sb="0" eb="1">
      <t>チ</t>
    </rPh>
    <rPh sb="1" eb="2">
      <t>セキ</t>
    </rPh>
    <rPh sb="4" eb="5">
      <t>セン</t>
    </rPh>
    <phoneticPr fontId="1"/>
  </si>
  <si>
    <t>家屋</t>
    <rPh sb="0" eb="2">
      <t>カオク</t>
    </rPh>
    <phoneticPr fontId="1"/>
  </si>
  <si>
    <t>床面積
（千㎡）</t>
    <rPh sb="0" eb="3">
      <t>ユカメンセキ</t>
    </rPh>
    <rPh sb="5" eb="6">
      <t>セン</t>
    </rPh>
    <phoneticPr fontId="1"/>
  </si>
  <si>
    <t>６　市税の軽減</t>
    <rPh sb="2" eb="4">
      <t>シゼイ</t>
    </rPh>
    <rPh sb="5" eb="7">
      <t>ケイゲン</t>
    </rPh>
    <phoneticPr fontId="1"/>
  </si>
  <si>
    <t>（１）個人市民税減免額の推移</t>
    <rPh sb="3" eb="5">
      <t>コジン</t>
    </rPh>
    <rPh sb="5" eb="8">
      <t>シミンゼイ</t>
    </rPh>
    <rPh sb="8" eb="10">
      <t>ゲンメン</t>
    </rPh>
    <rPh sb="10" eb="11">
      <t>ガク</t>
    </rPh>
    <rPh sb="12" eb="14">
      <t>スイイ</t>
    </rPh>
    <phoneticPr fontId="1"/>
  </si>
  <si>
    <t>失業者・退職者</t>
    <rPh sb="0" eb="3">
      <t>シツギョウシャ</t>
    </rPh>
    <rPh sb="4" eb="7">
      <t>タイショクシャ</t>
    </rPh>
    <phoneticPr fontId="1"/>
  </si>
  <si>
    <t>件数</t>
    <rPh sb="0" eb="2">
      <t>ケンスウ</t>
    </rPh>
    <phoneticPr fontId="1"/>
  </si>
  <si>
    <t>金額</t>
    <rPh sb="0" eb="2">
      <t>キンガク</t>
    </rPh>
    <phoneticPr fontId="1"/>
  </si>
  <si>
    <t>障害者等</t>
    <rPh sb="0" eb="3">
      <t>ショウガイシャ</t>
    </rPh>
    <rPh sb="3" eb="4">
      <t>トウ</t>
    </rPh>
    <phoneticPr fontId="1"/>
  </si>
  <si>
    <t>勤労学生</t>
    <rPh sb="0" eb="2">
      <t>キンロウ</t>
    </rPh>
    <rPh sb="2" eb="4">
      <t>ガクセイ</t>
    </rPh>
    <phoneticPr fontId="1"/>
  </si>
  <si>
    <t>相続減免</t>
    <rPh sb="0" eb="2">
      <t>ソウゾク</t>
    </rPh>
    <rPh sb="2" eb="4">
      <t>ゲンメン</t>
    </rPh>
    <phoneticPr fontId="1"/>
  </si>
  <si>
    <t>災害その他</t>
    <rPh sb="0" eb="2">
      <t>サイガイ</t>
    </rPh>
    <rPh sb="4" eb="5">
      <t>ホカ</t>
    </rPh>
    <phoneticPr fontId="1"/>
  </si>
  <si>
    <t>（単位：件、百万円）</t>
    <rPh sb="1" eb="3">
      <t>タンイ</t>
    </rPh>
    <rPh sb="4" eb="5">
      <t>ケン</t>
    </rPh>
    <rPh sb="6" eb="9">
      <t>ヒャクマンエン</t>
    </rPh>
    <phoneticPr fontId="1"/>
  </si>
  <si>
    <t>（２）固定資産税・都市計画税減免額の推移</t>
    <rPh sb="3" eb="5">
      <t>コテイ</t>
    </rPh>
    <rPh sb="5" eb="8">
      <t>シサンゼイ</t>
    </rPh>
    <rPh sb="9" eb="11">
      <t>トシ</t>
    </rPh>
    <rPh sb="11" eb="13">
      <t>ケイカク</t>
    </rPh>
    <rPh sb="13" eb="14">
      <t>ゼイ</t>
    </rPh>
    <rPh sb="14" eb="16">
      <t>ゲンメン</t>
    </rPh>
    <rPh sb="16" eb="17">
      <t>ガク</t>
    </rPh>
    <rPh sb="18" eb="20">
      <t>スイイ</t>
    </rPh>
    <phoneticPr fontId="1"/>
  </si>
  <si>
    <t>生活保護</t>
    <rPh sb="0" eb="2">
      <t>セイカツ</t>
    </rPh>
    <rPh sb="2" eb="4">
      <t>ホゴ</t>
    </rPh>
    <phoneticPr fontId="1"/>
  </si>
  <si>
    <t>公共事業</t>
    <rPh sb="0" eb="2">
      <t>コウキョウ</t>
    </rPh>
    <rPh sb="2" eb="4">
      <t>ジギョウ</t>
    </rPh>
    <phoneticPr fontId="1"/>
  </si>
  <si>
    <t>災害減免</t>
    <rPh sb="0" eb="2">
      <t>サイガイ</t>
    </rPh>
    <rPh sb="2" eb="4">
      <t>ゲンメン</t>
    </rPh>
    <phoneticPr fontId="1"/>
  </si>
  <si>
    <t>公害防止施設</t>
    <rPh sb="0" eb="2">
      <t>コウガイ</t>
    </rPh>
    <rPh sb="2" eb="4">
      <t>ボウシ</t>
    </rPh>
    <rPh sb="4" eb="6">
      <t>シセツ</t>
    </rPh>
    <phoneticPr fontId="1"/>
  </si>
  <si>
    <t>国等に移転・使用貸借</t>
    <rPh sb="0" eb="1">
      <t>クニ</t>
    </rPh>
    <rPh sb="1" eb="2">
      <t>トウ</t>
    </rPh>
    <rPh sb="3" eb="5">
      <t>イテン</t>
    </rPh>
    <rPh sb="6" eb="8">
      <t>シヨウ</t>
    </rPh>
    <rPh sb="8" eb="10">
      <t>タイシャク</t>
    </rPh>
    <phoneticPr fontId="1"/>
  </si>
  <si>
    <t>（年度初日以前）</t>
    <rPh sb="1" eb="3">
      <t>ネンド</t>
    </rPh>
    <rPh sb="3" eb="5">
      <t>ショニチ</t>
    </rPh>
    <rPh sb="5" eb="7">
      <t>イゼン</t>
    </rPh>
    <phoneticPr fontId="1"/>
  </si>
  <si>
    <t>公民館・集会所　等</t>
    <rPh sb="0" eb="3">
      <t>コウミンカン</t>
    </rPh>
    <rPh sb="4" eb="6">
      <t>シュウカイ</t>
    </rPh>
    <rPh sb="6" eb="7">
      <t>ジョ</t>
    </rPh>
    <rPh sb="8" eb="9">
      <t>トウ</t>
    </rPh>
    <phoneticPr fontId="1"/>
  </si>
  <si>
    <t>個人経営の幼稚園</t>
    <rPh sb="0" eb="2">
      <t>コジン</t>
    </rPh>
    <rPh sb="2" eb="4">
      <t>ケイエイ</t>
    </rPh>
    <rPh sb="5" eb="8">
      <t>ヨウチエン</t>
    </rPh>
    <phoneticPr fontId="1"/>
  </si>
  <si>
    <t>公衆浴場</t>
    <rPh sb="0" eb="2">
      <t>コウシュウ</t>
    </rPh>
    <rPh sb="2" eb="4">
      <t>ヨクジョウ</t>
    </rPh>
    <phoneticPr fontId="1"/>
  </si>
  <si>
    <t>神戸市買収・物納等</t>
    <rPh sb="0" eb="3">
      <t>コウベシ</t>
    </rPh>
    <rPh sb="3" eb="5">
      <t>バイシュウ</t>
    </rPh>
    <rPh sb="6" eb="7">
      <t>ブツ</t>
    </rPh>
    <rPh sb="8" eb="9">
      <t>トウ</t>
    </rPh>
    <phoneticPr fontId="1"/>
  </si>
  <si>
    <t>（年度初日後）</t>
    <rPh sb="1" eb="3">
      <t>ネンド</t>
    </rPh>
    <rPh sb="3" eb="5">
      <t>ショニチ</t>
    </rPh>
    <rPh sb="5" eb="6">
      <t>ゴ</t>
    </rPh>
    <phoneticPr fontId="1"/>
  </si>
  <si>
    <t>し尿浄化槽</t>
    <rPh sb="1" eb="2">
      <t>ニョウ</t>
    </rPh>
    <rPh sb="2" eb="5">
      <t>ジョウカソウ</t>
    </rPh>
    <phoneticPr fontId="1"/>
  </si>
  <si>
    <t>有形文化財等</t>
    <rPh sb="0" eb="2">
      <t>ユウケイ</t>
    </rPh>
    <rPh sb="2" eb="5">
      <t>ブンカザイ</t>
    </rPh>
    <rPh sb="5" eb="6">
      <t>トウ</t>
    </rPh>
    <phoneticPr fontId="1"/>
  </si>
  <si>
    <t>小規模作業所等</t>
    <rPh sb="0" eb="3">
      <t>ショウキボ</t>
    </rPh>
    <rPh sb="3" eb="5">
      <t>サギョウ</t>
    </rPh>
    <rPh sb="5" eb="6">
      <t>ショ</t>
    </rPh>
    <rPh sb="6" eb="7">
      <t>トウ</t>
    </rPh>
    <phoneticPr fontId="1"/>
  </si>
  <si>
    <t>商店街振興組合</t>
    <rPh sb="0" eb="3">
      <t>ショウテンガイ</t>
    </rPh>
    <rPh sb="3" eb="5">
      <t>シンコウ</t>
    </rPh>
    <rPh sb="5" eb="7">
      <t>クミアイ</t>
    </rPh>
    <phoneticPr fontId="1"/>
  </si>
  <si>
    <t>その他減免</t>
    <rPh sb="2" eb="3">
      <t>ホカ</t>
    </rPh>
    <rPh sb="3" eb="5">
      <t>ゲンメン</t>
    </rPh>
    <phoneticPr fontId="1"/>
  </si>
  <si>
    <t>（３）震災に伴う市税軽減額の推移（平成６～28年度）</t>
    <rPh sb="3" eb="5">
      <t>シンサイ</t>
    </rPh>
    <rPh sb="6" eb="7">
      <t>トモナ</t>
    </rPh>
    <rPh sb="8" eb="10">
      <t>シゼイ</t>
    </rPh>
    <rPh sb="10" eb="12">
      <t>ケイゲン</t>
    </rPh>
    <rPh sb="12" eb="13">
      <t>ガク</t>
    </rPh>
    <rPh sb="14" eb="16">
      <t>スイイ</t>
    </rPh>
    <rPh sb="17" eb="19">
      <t>ヘイセイ</t>
    </rPh>
    <rPh sb="23" eb="25">
      <t>ネンド</t>
    </rPh>
    <phoneticPr fontId="1"/>
  </si>
  <si>
    <t>（単位：千円）</t>
    <rPh sb="1" eb="3">
      <t>タンイ</t>
    </rPh>
    <rPh sb="4" eb="5">
      <t>セン</t>
    </rPh>
    <rPh sb="5" eb="6">
      <t>エン</t>
    </rPh>
    <phoneticPr fontId="1"/>
  </si>
  <si>
    <t>平成27年度</t>
    <rPh sb="0" eb="2">
      <t>ヘイセイ</t>
    </rPh>
    <rPh sb="4" eb="5">
      <t>ネン</t>
    </rPh>
    <rPh sb="5" eb="6">
      <t>ド</t>
    </rPh>
    <phoneticPr fontId="1"/>
  </si>
  <si>
    <t>平成26年度</t>
    <rPh sb="0" eb="2">
      <t>ヘイセイ</t>
    </rPh>
    <rPh sb="4" eb="5">
      <t>ネン</t>
    </rPh>
    <rPh sb="5" eb="6">
      <t>ド</t>
    </rPh>
    <phoneticPr fontId="1"/>
  </si>
  <si>
    <t>平成25年度</t>
    <rPh sb="0" eb="2">
      <t>ヘイセイ</t>
    </rPh>
    <rPh sb="4" eb="5">
      <t>ネン</t>
    </rPh>
    <rPh sb="5" eb="6">
      <t>ド</t>
    </rPh>
    <phoneticPr fontId="1"/>
  </si>
  <si>
    <t>平成24年度</t>
    <rPh sb="0" eb="2">
      <t>ヘイセイ</t>
    </rPh>
    <rPh sb="4" eb="5">
      <t>ネン</t>
    </rPh>
    <rPh sb="5" eb="6">
      <t>ド</t>
    </rPh>
    <phoneticPr fontId="1"/>
  </si>
  <si>
    <t>平成23年度</t>
    <rPh sb="0" eb="2">
      <t>ヘイセイ</t>
    </rPh>
    <rPh sb="4" eb="5">
      <t>ネン</t>
    </rPh>
    <rPh sb="5" eb="6">
      <t>ド</t>
    </rPh>
    <phoneticPr fontId="1"/>
  </si>
  <si>
    <t>平成22年度</t>
    <rPh sb="0" eb="2">
      <t>ヘイセイ</t>
    </rPh>
    <rPh sb="4" eb="5">
      <t>ネン</t>
    </rPh>
    <rPh sb="5" eb="6">
      <t>ド</t>
    </rPh>
    <phoneticPr fontId="1"/>
  </si>
  <si>
    <t>平成21年度</t>
    <rPh sb="0" eb="2">
      <t>ヘイセイ</t>
    </rPh>
    <rPh sb="4" eb="5">
      <t>ネン</t>
    </rPh>
    <rPh sb="5" eb="6">
      <t>ド</t>
    </rPh>
    <phoneticPr fontId="1"/>
  </si>
  <si>
    <t>平成20年度</t>
    <rPh sb="0" eb="2">
      <t>ヘイセイ</t>
    </rPh>
    <rPh sb="4" eb="5">
      <t>ネン</t>
    </rPh>
    <rPh sb="5" eb="6">
      <t>ド</t>
    </rPh>
    <phoneticPr fontId="1"/>
  </si>
  <si>
    <t>平成19年度</t>
    <rPh sb="0" eb="2">
      <t>ヘイセイ</t>
    </rPh>
    <rPh sb="4" eb="5">
      <t>ネン</t>
    </rPh>
    <rPh sb="5" eb="6">
      <t>ド</t>
    </rPh>
    <phoneticPr fontId="1"/>
  </si>
  <si>
    <t>平成18年度</t>
    <rPh sb="0" eb="2">
      <t>ヘイセイ</t>
    </rPh>
    <rPh sb="4" eb="5">
      <t>ネン</t>
    </rPh>
    <rPh sb="5" eb="6">
      <t>ド</t>
    </rPh>
    <phoneticPr fontId="1"/>
  </si>
  <si>
    <t>平成17年度</t>
    <rPh sb="0" eb="2">
      <t>ヘイセイ</t>
    </rPh>
    <rPh sb="4" eb="5">
      <t>ネン</t>
    </rPh>
    <rPh sb="5" eb="6">
      <t>ド</t>
    </rPh>
    <phoneticPr fontId="1"/>
  </si>
  <si>
    <t>平成16年度</t>
    <rPh sb="0" eb="2">
      <t>ヘイセイ</t>
    </rPh>
    <rPh sb="4" eb="5">
      <t>ネン</t>
    </rPh>
    <rPh sb="5" eb="6">
      <t>ド</t>
    </rPh>
    <phoneticPr fontId="1"/>
  </si>
  <si>
    <t>平成15年度</t>
    <rPh sb="0" eb="2">
      <t>ヘイセイ</t>
    </rPh>
    <rPh sb="4" eb="5">
      <t>ネン</t>
    </rPh>
    <rPh sb="5" eb="6">
      <t>ド</t>
    </rPh>
    <phoneticPr fontId="1"/>
  </si>
  <si>
    <t>平成14年度</t>
    <rPh sb="0" eb="2">
      <t>ヘイセイ</t>
    </rPh>
    <rPh sb="4" eb="5">
      <t>ネン</t>
    </rPh>
    <rPh sb="5" eb="6">
      <t>ド</t>
    </rPh>
    <phoneticPr fontId="1"/>
  </si>
  <si>
    <t>平成13年度</t>
    <rPh sb="0" eb="2">
      <t>ヘイセイ</t>
    </rPh>
    <rPh sb="4" eb="5">
      <t>ネン</t>
    </rPh>
    <rPh sb="5" eb="6">
      <t>ド</t>
    </rPh>
    <phoneticPr fontId="1"/>
  </si>
  <si>
    <t>平成12年度</t>
    <rPh sb="0" eb="2">
      <t>ヘイセイ</t>
    </rPh>
    <rPh sb="4" eb="5">
      <t>ネン</t>
    </rPh>
    <rPh sb="5" eb="6">
      <t>ド</t>
    </rPh>
    <phoneticPr fontId="1"/>
  </si>
  <si>
    <t>平成11年度</t>
    <rPh sb="0" eb="2">
      <t>ヘイセイ</t>
    </rPh>
    <rPh sb="4" eb="5">
      <t>ネン</t>
    </rPh>
    <rPh sb="5" eb="6">
      <t>ド</t>
    </rPh>
    <phoneticPr fontId="1"/>
  </si>
  <si>
    <t>平成10年度</t>
    <rPh sb="0" eb="2">
      <t>ヘイセイ</t>
    </rPh>
    <rPh sb="4" eb="5">
      <t>ネン</t>
    </rPh>
    <rPh sb="5" eb="6">
      <t>ド</t>
    </rPh>
    <phoneticPr fontId="1"/>
  </si>
  <si>
    <t>平成９年度</t>
    <rPh sb="0" eb="2">
      <t>ヘイセイ</t>
    </rPh>
    <rPh sb="3" eb="4">
      <t>ネン</t>
    </rPh>
    <rPh sb="4" eb="5">
      <t>ド</t>
    </rPh>
    <phoneticPr fontId="1"/>
  </si>
  <si>
    <t>平成８年度</t>
    <rPh sb="0" eb="2">
      <t>ヘイセイ</t>
    </rPh>
    <rPh sb="3" eb="4">
      <t>ネン</t>
    </rPh>
    <rPh sb="4" eb="5">
      <t>ド</t>
    </rPh>
    <phoneticPr fontId="1"/>
  </si>
  <si>
    <t>平成７年度</t>
    <rPh sb="0" eb="2">
      <t>ヘイセイ</t>
    </rPh>
    <rPh sb="3" eb="4">
      <t>ネン</t>
    </rPh>
    <rPh sb="4" eb="5">
      <t>ド</t>
    </rPh>
    <phoneticPr fontId="1"/>
  </si>
  <si>
    <t>平成６年度</t>
    <rPh sb="0" eb="2">
      <t>ヘイセイ</t>
    </rPh>
    <rPh sb="3" eb="4">
      <t>ネン</t>
    </rPh>
    <rPh sb="4" eb="5">
      <t>ド</t>
    </rPh>
    <phoneticPr fontId="1"/>
  </si>
  <si>
    <t>①減免</t>
    <rPh sb="1" eb="3">
      <t>ゲンメン</t>
    </rPh>
    <phoneticPr fontId="1"/>
  </si>
  <si>
    <t>個人市民税</t>
  </si>
  <si>
    <t>災害減免</t>
  </si>
  <si>
    <t>固定資産税</t>
  </si>
  <si>
    <t>土地</t>
    <phoneticPr fontId="21"/>
  </si>
  <si>
    <t>家屋</t>
    <phoneticPr fontId="21"/>
  </si>
  <si>
    <t>償却</t>
    <phoneticPr fontId="21"/>
  </si>
  <si>
    <t>特別減免</t>
  </si>
  <si>
    <t>小規模事業所敷地の特例※</t>
    <rPh sb="0" eb="3">
      <t>ショウキボ</t>
    </rPh>
    <rPh sb="3" eb="6">
      <t>ジギョウショ</t>
    </rPh>
    <rPh sb="6" eb="8">
      <t>シキチ</t>
    </rPh>
    <rPh sb="9" eb="11">
      <t>トクレイ</t>
    </rPh>
    <phoneticPr fontId="21"/>
  </si>
  <si>
    <t>再建された小規模住宅※</t>
    <rPh sb="0" eb="2">
      <t>サイケン</t>
    </rPh>
    <rPh sb="5" eb="8">
      <t>ショウキボ</t>
    </rPh>
    <rPh sb="8" eb="10">
      <t>ジュウタク</t>
    </rPh>
    <phoneticPr fontId="21"/>
  </si>
  <si>
    <t>都市計画税</t>
  </si>
  <si>
    <t>事業所税</t>
  </si>
  <si>
    <t>休業減免</t>
  </si>
  <si>
    <t>建替減免</t>
  </si>
  <si>
    <t>計</t>
  </si>
  <si>
    <t>②雑損控除、雑損失の繰越控除</t>
    <rPh sb="1" eb="3">
      <t>ザッソン</t>
    </rPh>
    <rPh sb="3" eb="5">
      <t>コウジョ</t>
    </rPh>
    <rPh sb="6" eb="7">
      <t>ザツ</t>
    </rPh>
    <rPh sb="7" eb="9">
      <t>ソンシツ</t>
    </rPh>
    <rPh sb="10" eb="12">
      <t>クリコシ</t>
    </rPh>
    <rPh sb="12" eb="14">
      <t>コウジョ</t>
    </rPh>
    <phoneticPr fontId="1"/>
  </si>
  <si>
    <t>個人市民税</t>
    <phoneticPr fontId="1"/>
  </si>
  <si>
    <t>③代替特例</t>
    <rPh sb="1" eb="3">
      <t>ダイタイ</t>
    </rPh>
    <rPh sb="3" eb="5">
      <t>トクレイ</t>
    </rPh>
    <phoneticPr fontId="1"/>
  </si>
  <si>
    <t>家屋</t>
  </si>
  <si>
    <t>償却資産</t>
  </si>
  <si>
    <t>①～③の計</t>
    <rPh sb="4" eb="5">
      <t>ケイ</t>
    </rPh>
    <phoneticPr fontId="1"/>
  </si>
  <si>
    <t>④ ①～③の計</t>
    <rPh sb="6" eb="7">
      <t>ケイ</t>
    </rPh>
    <phoneticPr fontId="1"/>
  </si>
  <si>
    <t>※14年度作成時まで、「6(2)固定資産税・都市計画税減免額の推移」に含めていた「小規模事業所敷地の特例」、「再建された小規模住宅の特例」を、15年度より、ここに掲げることとした。</t>
    <rPh sb="3" eb="5">
      <t>ネンド</t>
    </rPh>
    <rPh sb="5" eb="7">
      <t>サクセイ</t>
    </rPh>
    <rPh sb="7" eb="8">
      <t>ジ</t>
    </rPh>
    <rPh sb="16" eb="21">
      <t>コテイシサンゼイ</t>
    </rPh>
    <rPh sb="22" eb="27">
      <t>トシケイカクゼイ</t>
    </rPh>
    <rPh sb="27" eb="29">
      <t>ゲンメン</t>
    </rPh>
    <rPh sb="29" eb="30">
      <t>ガク</t>
    </rPh>
    <rPh sb="31" eb="33">
      <t>スイイ</t>
    </rPh>
    <rPh sb="35" eb="36">
      <t>フク</t>
    </rPh>
    <phoneticPr fontId="1"/>
  </si>
  <si>
    <r>
      <t>419</t>
    </r>
    <r>
      <rPr>
        <sz val="11"/>
        <rFont val="ＭＳ 明朝"/>
        <family val="1"/>
        <charset val="128"/>
      </rPr>
      <t>件</t>
    </r>
  </si>
  <si>
    <r>
      <t>585</t>
    </r>
    <r>
      <rPr>
        <sz val="11"/>
        <rFont val="ＭＳ 明朝"/>
        <family val="1"/>
        <charset val="128"/>
      </rPr>
      <t>件</t>
    </r>
  </si>
  <si>
    <r>
      <t>628</t>
    </r>
    <r>
      <rPr>
        <sz val="11"/>
        <rFont val="ＭＳ 明朝"/>
        <family val="1"/>
        <charset val="128"/>
      </rPr>
      <t>件</t>
    </r>
  </si>
  <si>
    <r>
      <t>686</t>
    </r>
    <r>
      <rPr>
        <sz val="11"/>
        <rFont val="ＭＳ 明朝"/>
        <family val="1"/>
        <charset val="128"/>
      </rPr>
      <t>件</t>
    </r>
  </si>
  <si>
    <r>
      <t>842</t>
    </r>
    <r>
      <rPr>
        <sz val="11"/>
        <rFont val="ＭＳ 明朝"/>
        <family val="1"/>
        <charset val="128"/>
      </rPr>
      <t>件</t>
    </r>
  </si>
  <si>
    <r>
      <t>840</t>
    </r>
    <r>
      <rPr>
        <sz val="11"/>
        <rFont val="ＭＳ 明朝"/>
        <family val="1"/>
        <charset val="128"/>
      </rPr>
      <t>件</t>
    </r>
  </si>
  <si>
    <r>
      <t>864</t>
    </r>
    <r>
      <rPr>
        <sz val="11"/>
        <rFont val="ＭＳ 明朝"/>
        <family val="1"/>
        <charset val="128"/>
      </rPr>
      <t>件</t>
    </r>
  </si>
  <si>
    <r>
      <t>848</t>
    </r>
    <r>
      <rPr>
        <sz val="11"/>
        <rFont val="ＭＳ 明朝"/>
        <family val="1"/>
        <charset val="128"/>
      </rPr>
      <t>件</t>
    </r>
  </si>
  <si>
    <r>
      <t>815</t>
    </r>
    <r>
      <rPr>
        <sz val="11"/>
        <rFont val="ＭＳ 明朝"/>
        <family val="1"/>
        <charset val="128"/>
      </rPr>
      <t>件</t>
    </r>
  </si>
  <si>
    <r>
      <t>717</t>
    </r>
    <r>
      <rPr>
        <sz val="11"/>
        <rFont val="ＭＳ 明朝"/>
        <family val="1"/>
        <charset val="128"/>
      </rPr>
      <t>件</t>
    </r>
  </si>
  <si>
    <r>
      <t>31</t>
    </r>
    <r>
      <rPr>
        <sz val="11"/>
        <rFont val="ＭＳ 明朝"/>
        <family val="1"/>
        <charset val="128"/>
      </rPr>
      <t>件</t>
    </r>
  </si>
  <si>
    <r>
      <t>29</t>
    </r>
    <r>
      <rPr>
        <sz val="11"/>
        <rFont val="ＭＳ 明朝"/>
        <family val="1"/>
        <charset val="128"/>
      </rPr>
      <t>件</t>
    </r>
    <rPh sb="2" eb="3">
      <t>ケン</t>
    </rPh>
    <phoneticPr fontId="21"/>
  </si>
  <si>
    <r>
      <t>24</t>
    </r>
    <r>
      <rPr>
        <sz val="11"/>
        <rFont val="ＭＳ 明朝"/>
        <family val="1"/>
        <charset val="128"/>
      </rPr>
      <t>件</t>
    </r>
    <rPh sb="2" eb="3">
      <t>ケン</t>
    </rPh>
    <phoneticPr fontId="21"/>
  </si>
  <si>
    <r>
      <t>0</t>
    </r>
    <r>
      <rPr>
        <sz val="11"/>
        <rFont val="ＭＳ 明朝"/>
        <family val="1"/>
        <charset val="128"/>
      </rPr>
      <t>件</t>
    </r>
    <rPh sb="1" eb="2">
      <t>ケン</t>
    </rPh>
    <phoneticPr fontId="21"/>
  </si>
  <si>
    <r>
      <t>276</t>
    </r>
    <r>
      <rPr>
        <sz val="11"/>
        <rFont val="ＭＳ 明朝"/>
        <family val="1"/>
        <charset val="128"/>
      </rPr>
      <t>件</t>
    </r>
  </si>
  <si>
    <r>
      <t>767</t>
    </r>
    <r>
      <rPr>
        <sz val="11"/>
        <rFont val="ＭＳ 明朝"/>
        <family val="1"/>
        <charset val="128"/>
      </rPr>
      <t>件</t>
    </r>
  </si>
  <si>
    <r>
      <t>928</t>
    </r>
    <r>
      <rPr>
        <sz val="11"/>
        <rFont val="ＭＳ 明朝"/>
        <family val="1"/>
        <charset val="128"/>
      </rPr>
      <t>件</t>
    </r>
  </si>
  <si>
    <r>
      <t>518</t>
    </r>
    <r>
      <rPr>
        <sz val="11"/>
        <rFont val="ＭＳ 明朝"/>
        <family val="1"/>
        <charset val="128"/>
      </rPr>
      <t>件</t>
    </r>
  </si>
  <si>
    <r>
      <t>529</t>
    </r>
    <r>
      <rPr>
        <sz val="11"/>
        <rFont val="ＭＳ 明朝"/>
        <family val="1"/>
        <charset val="128"/>
      </rPr>
      <t>件</t>
    </r>
  </si>
  <si>
    <r>
      <t>511</t>
    </r>
    <r>
      <rPr>
        <sz val="11"/>
        <rFont val="ＭＳ 明朝"/>
        <family val="1"/>
        <charset val="128"/>
      </rPr>
      <t>件</t>
    </r>
  </si>
  <si>
    <r>
      <t>393</t>
    </r>
    <r>
      <rPr>
        <sz val="11"/>
        <rFont val="ＭＳ 明朝"/>
        <family val="1"/>
        <charset val="128"/>
      </rPr>
      <t>件</t>
    </r>
  </si>
  <si>
    <r>
      <t>140</t>
    </r>
    <r>
      <rPr>
        <sz val="11"/>
        <rFont val="ＭＳ 明朝"/>
        <family val="1"/>
        <charset val="128"/>
      </rPr>
      <t>件</t>
    </r>
  </si>
  <si>
    <r>
      <t>94</t>
    </r>
    <r>
      <rPr>
        <sz val="11"/>
        <rFont val="ＭＳ 明朝"/>
        <family val="1"/>
        <charset val="128"/>
      </rPr>
      <t>件</t>
    </r>
  </si>
  <si>
    <r>
      <t>85</t>
    </r>
    <r>
      <rPr>
        <sz val="11"/>
        <rFont val="ＭＳ 明朝"/>
        <family val="1"/>
        <charset val="128"/>
      </rPr>
      <t>件</t>
    </r>
  </si>
  <si>
    <r>
      <t>83</t>
    </r>
    <r>
      <rPr>
        <sz val="11"/>
        <rFont val="ＭＳ 明朝"/>
        <family val="1"/>
        <charset val="128"/>
      </rPr>
      <t>件</t>
    </r>
  </si>
  <si>
    <r>
      <t>55</t>
    </r>
    <r>
      <rPr>
        <sz val="11"/>
        <rFont val="ＭＳ 明朝"/>
        <family val="1"/>
        <charset val="128"/>
      </rPr>
      <t>件</t>
    </r>
  </si>
  <si>
    <r>
      <t>5</t>
    </r>
    <r>
      <rPr>
        <sz val="11"/>
        <rFont val="ＭＳ 明朝"/>
        <family val="1"/>
        <charset val="128"/>
      </rPr>
      <t>件</t>
    </r>
    <rPh sb="1" eb="2">
      <t>ケン</t>
    </rPh>
    <phoneticPr fontId="21"/>
  </si>
  <si>
    <r>
      <t>1</t>
    </r>
    <r>
      <rPr>
        <sz val="11"/>
        <rFont val="ＭＳ 明朝"/>
        <family val="1"/>
        <charset val="128"/>
      </rPr>
      <t>件</t>
    </r>
    <rPh sb="1" eb="2">
      <t>ケン</t>
    </rPh>
    <phoneticPr fontId="21"/>
  </si>
  <si>
    <r>
      <t>276</t>
    </r>
    <r>
      <rPr>
        <sz val="11"/>
        <rFont val="ＭＳ 明朝"/>
        <family val="1"/>
        <charset val="128"/>
      </rPr>
      <t>件</t>
    </r>
    <phoneticPr fontId="1"/>
  </si>
  <si>
    <t>固定資産税・都市計画税</t>
    <phoneticPr fontId="21"/>
  </si>
  <si>
    <t>(5)鉄鋼・非鉄金属製造業</t>
    <phoneticPr fontId="1"/>
  </si>
  <si>
    <t>(6)金属製品・一般機械器具製造業</t>
    <phoneticPr fontId="1"/>
  </si>
  <si>
    <t>(7)電気機械器具製造業</t>
    <phoneticPr fontId="1"/>
  </si>
  <si>
    <t>(8)輸送用機械器具製造業</t>
    <phoneticPr fontId="1"/>
  </si>
  <si>
    <t>Ⅱ　課税状況</t>
    <rPh sb="2" eb="4">
      <t>カゼイ</t>
    </rPh>
    <rPh sb="4" eb="6">
      <t>ジョウキョウ</t>
    </rPh>
    <phoneticPr fontId="1"/>
  </si>
  <si>
    <t>（２）調定額の推移</t>
  </si>
  <si>
    <t>（３）事業所税に関する調</t>
    <rPh sb="3" eb="6">
      <t>ジギョウショ</t>
    </rPh>
    <rPh sb="6" eb="7">
      <t>ゼイ</t>
    </rPh>
    <rPh sb="8" eb="9">
      <t>カン</t>
    </rPh>
    <rPh sb="11" eb="12">
      <t>シラ</t>
    </rPh>
    <phoneticPr fontId="1"/>
  </si>
  <si>
    <t>（３）地目別筆数の推移（土地）</t>
  </si>
  <si>
    <t>構成比</t>
    <rPh sb="0" eb="3">
      <t>コウセイヒ</t>
    </rPh>
    <phoneticPr fontId="1"/>
  </si>
  <si>
    <t>決算調定額</t>
    <rPh sb="0" eb="2">
      <t>ケッサン</t>
    </rPh>
    <rPh sb="2" eb="5">
      <t>チョウテイガク</t>
    </rPh>
    <phoneticPr fontId="1"/>
  </si>
  <si>
    <t>(単位：千円、％)</t>
    <rPh sb="1" eb="3">
      <t>タンイ</t>
    </rPh>
    <rPh sb="4" eb="6">
      <t>センエン</t>
    </rPh>
    <phoneticPr fontId="1"/>
  </si>
  <si>
    <t>-</t>
    <phoneticPr fontId="1"/>
  </si>
  <si>
    <t>●目次（下線付き文字をクリックすると、各項目に切り替わります。）</t>
    <rPh sb="1" eb="3">
      <t>モクジ</t>
    </rPh>
    <rPh sb="4" eb="6">
      <t>カセン</t>
    </rPh>
    <rPh sb="6" eb="7">
      <t>ツ</t>
    </rPh>
    <rPh sb="8" eb="10">
      <t>モジ</t>
    </rPh>
    <rPh sb="19" eb="22">
      <t>カクコウモク</t>
    </rPh>
    <rPh sb="23" eb="24">
      <t>キ</t>
    </rPh>
    <rPh sb="25" eb="26">
      <t>カ</t>
    </rPh>
    <phoneticPr fontId="1"/>
  </si>
  <si>
    <t>目次へ戻る</t>
    <rPh sb="0" eb="2">
      <t>モクジ</t>
    </rPh>
    <rPh sb="3" eb="4">
      <t>モド</t>
    </rPh>
    <phoneticPr fontId="1"/>
  </si>
  <si>
    <t>（４）阪神・淡路大震災に関する税制措置大要</t>
  </si>
  <si>
    <t>（４）阪神・淡路大震災に関する税制措置大要</t>
    <rPh sb="3" eb="5">
      <t>ハンシン</t>
    </rPh>
    <rPh sb="6" eb="8">
      <t>アワジ</t>
    </rPh>
    <rPh sb="8" eb="9">
      <t>ダイ</t>
    </rPh>
    <rPh sb="9" eb="11">
      <t>シンサイ</t>
    </rPh>
    <rPh sb="12" eb="13">
      <t>カン</t>
    </rPh>
    <rPh sb="15" eb="17">
      <t>ゼイセイ</t>
    </rPh>
    <rPh sb="17" eb="19">
      <t>ソチ</t>
    </rPh>
    <rPh sb="19" eb="20">
      <t>ダイ</t>
    </rPh>
    <rPh sb="20" eb="21">
      <t>ヨウ</t>
    </rPh>
    <phoneticPr fontId="1"/>
  </si>
  <si>
    <t>＜凡例＞</t>
    <rPh sb="1" eb="3">
      <t>ハンレイ</t>
    </rPh>
    <phoneticPr fontId="1"/>
  </si>
  <si>
    <t>ア　災害に対する一般的な税制上の取扱いの概要</t>
    <rPh sb="2" eb="4">
      <t>サイガイ</t>
    </rPh>
    <rPh sb="5" eb="6">
      <t>タイ</t>
    </rPh>
    <rPh sb="8" eb="11">
      <t>イッパンテキ</t>
    </rPh>
    <rPh sb="12" eb="15">
      <t>ゼイセイジョウ</t>
    </rPh>
    <rPh sb="16" eb="18">
      <t>トリアツカ</t>
    </rPh>
    <rPh sb="20" eb="22">
      <t>ガイヨウ</t>
    </rPh>
    <phoneticPr fontId="1"/>
  </si>
  <si>
    <t>税目</t>
    <rPh sb="0" eb="2">
      <t>ゼイモク</t>
    </rPh>
    <phoneticPr fontId="21"/>
  </si>
  <si>
    <t>項目</t>
    <rPh sb="0" eb="2">
      <t>コウモク</t>
    </rPh>
    <phoneticPr fontId="21"/>
  </si>
  <si>
    <t>概要</t>
    <rPh sb="0" eb="2">
      <t>ガイヨウ</t>
    </rPh>
    <phoneticPr fontId="21"/>
  </si>
  <si>
    <t>法令</t>
    <rPh sb="0" eb="2">
      <t>ホウレイ</t>
    </rPh>
    <phoneticPr fontId="21"/>
  </si>
  <si>
    <t>共通</t>
    <rPh sb="0" eb="2">
      <t>キョウツウ</t>
    </rPh>
    <phoneticPr fontId="21"/>
  </si>
  <si>
    <t>申告期限等の延長</t>
    <rPh sb="0" eb="2">
      <t>シンコク</t>
    </rPh>
    <rPh sb="2" eb="4">
      <t>キゲン</t>
    </rPh>
    <rPh sb="4" eb="5">
      <t>トウ</t>
    </rPh>
    <rPh sb="6" eb="8">
      <t>エンチョウ</t>
    </rPh>
    <phoneticPr fontId="21"/>
  </si>
  <si>
    <t>通則法11</t>
    <rPh sb="0" eb="2">
      <t>ツウソク</t>
    </rPh>
    <rPh sb="2" eb="3">
      <t>ホウ</t>
    </rPh>
    <phoneticPr fontId="21"/>
  </si>
  <si>
    <t>納税の猶予</t>
    <rPh sb="0" eb="2">
      <t>ノウゼイ</t>
    </rPh>
    <rPh sb="3" eb="5">
      <t>ユウヨ</t>
    </rPh>
    <phoneticPr fontId="21"/>
  </si>
  <si>
    <t>通則法46</t>
    <rPh sb="0" eb="2">
      <t>ツウソク</t>
    </rPh>
    <rPh sb="2" eb="3">
      <t>ホウ</t>
    </rPh>
    <phoneticPr fontId="21"/>
  </si>
  <si>
    <t>所得税</t>
    <rPh sb="0" eb="3">
      <t>ショトクゼイ</t>
    </rPh>
    <phoneticPr fontId="21"/>
  </si>
  <si>
    <t>雑損控除又は災害減免法の選択</t>
    <rPh sb="0" eb="2">
      <t>ザッソン</t>
    </rPh>
    <rPh sb="2" eb="4">
      <t>コウジョ</t>
    </rPh>
    <rPh sb="4" eb="5">
      <t>マタ</t>
    </rPh>
    <rPh sb="6" eb="8">
      <t>サイガイ</t>
    </rPh>
    <rPh sb="8" eb="10">
      <t>ゲンメン</t>
    </rPh>
    <rPh sb="10" eb="11">
      <t>ホウ</t>
    </rPh>
    <rPh sb="12" eb="14">
      <t>センタク</t>
    </rPh>
    <phoneticPr fontId="21"/>
  </si>
  <si>
    <t>所法71，72
災免法2</t>
    <rPh sb="0" eb="1">
      <t>ショ</t>
    </rPh>
    <rPh sb="1" eb="2">
      <t>ホウ</t>
    </rPh>
    <rPh sb="8" eb="9">
      <t>サイ</t>
    </rPh>
    <rPh sb="9" eb="10">
      <t>メン</t>
    </rPh>
    <rPh sb="10" eb="11">
      <t>ホウ</t>
    </rPh>
    <phoneticPr fontId="21"/>
  </si>
  <si>
    <t>被災事業用資産等の損失額の必要経費算入</t>
    <rPh sb="0" eb="2">
      <t>ヒサイ</t>
    </rPh>
    <rPh sb="2" eb="5">
      <t>ジギョウヨウ</t>
    </rPh>
    <rPh sb="5" eb="7">
      <t>シサン</t>
    </rPh>
    <rPh sb="7" eb="8">
      <t>トウ</t>
    </rPh>
    <rPh sb="9" eb="11">
      <t>ソンシツ</t>
    </rPh>
    <rPh sb="11" eb="12">
      <t>ガク</t>
    </rPh>
    <rPh sb="13" eb="15">
      <t>ヒツヨウ</t>
    </rPh>
    <rPh sb="15" eb="17">
      <t>ケイヒ</t>
    </rPh>
    <rPh sb="17" eb="19">
      <t>サンニュウ</t>
    </rPh>
    <phoneticPr fontId="21"/>
  </si>
  <si>
    <t>所法51，69，70</t>
    <rPh sb="0" eb="1">
      <t>ショ</t>
    </rPh>
    <rPh sb="1" eb="2">
      <t>ホウ</t>
    </rPh>
    <phoneticPr fontId="21"/>
  </si>
  <si>
    <t>法人税</t>
    <rPh sb="0" eb="3">
      <t>ホウジンゼイ</t>
    </rPh>
    <phoneticPr fontId="21"/>
  </si>
  <si>
    <t>被災事業用資産等の損失額の損金算入</t>
    <rPh sb="0" eb="2">
      <t>ヒサイ</t>
    </rPh>
    <rPh sb="2" eb="5">
      <t>ジギョウヨウ</t>
    </rPh>
    <rPh sb="5" eb="7">
      <t>シサン</t>
    </rPh>
    <rPh sb="7" eb="8">
      <t>トウ</t>
    </rPh>
    <rPh sb="9" eb="11">
      <t>ソンシツ</t>
    </rPh>
    <rPh sb="11" eb="12">
      <t>ガク</t>
    </rPh>
    <rPh sb="13" eb="15">
      <t>ソンキン</t>
    </rPh>
    <rPh sb="15" eb="17">
      <t>サンニュウ</t>
    </rPh>
    <phoneticPr fontId="21"/>
  </si>
  <si>
    <t>法法58</t>
    <rPh sb="0" eb="1">
      <t>ホウ</t>
    </rPh>
    <rPh sb="1" eb="2">
      <t>ホウ</t>
    </rPh>
    <phoneticPr fontId="21"/>
  </si>
  <si>
    <t>酒税等</t>
    <rPh sb="0" eb="1">
      <t>シュ</t>
    </rPh>
    <rPh sb="1" eb="2">
      <t>ゼイ</t>
    </rPh>
    <rPh sb="2" eb="3">
      <t>トウ</t>
    </rPh>
    <phoneticPr fontId="21"/>
  </si>
  <si>
    <t>災害減免</t>
    <rPh sb="0" eb="2">
      <t>サイガイ</t>
    </rPh>
    <rPh sb="2" eb="4">
      <t>ゲンメン</t>
    </rPh>
    <phoneticPr fontId="21"/>
  </si>
  <si>
    <t>災免法7</t>
    <rPh sb="0" eb="1">
      <t>サイ</t>
    </rPh>
    <rPh sb="1" eb="2">
      <t>メン</t>
    </rPh>
    <rPh sb="2" eb="3">
      <t>ホウ</t>
    </rPh>
    <phoneticPr fontId="21"/>
  </si>
  <si>
    <t>消費税</t>
    <rPh sb="0" eb="3">
      <t>ショウヒゼイ</t>
    </rPh>
    <phoneticPr fontId="21"/>
  </si>
  <si>
    <t>消法30</t>
    <rPh sb="0" eb="1">
      <t>ショウ</t>
    </rPh>
    <rPh sb="1" eb="2">
      <t>ホウ</t>
    </rPh>
    <phoneticPr fontId="21"/>
  </si>
  <si>
    <t>相続税
贈与税</t>
    <rPh sb="0" eb="3">
      <t>ソウゾクゼイ</t>
    </rPh>
    <rPh sb="4" eb="7">
      <t>ゾウヨゼイ</t>
    </rPh>
    <phoneticPr fontId="21"/>
  </si>
  <si>
    <t>災免法4，6</t>
    <rPh sb="0" eb="1">
      <t>サイ</t>
    </rPh>
    <rPh sb="1" eb="2">
      <t>メン</t>
    </rPh>
    <rPh sb="2" eb="3">
      <t>ホウ</t>
    </rPh>
    <phoneticPr fontId="21"/>
  </si>
  <si>
    <t>所得税
法人税</t>
    <rPh sb="0" eb="3">
      <t>ショトクゼイ</t>
    </rPh>
    <rPh sb="4" eb="7">
      <t>ホウジンゼイ</t>
    </rPh>
    <phoneticPr fontId="21"/>
  </si>
  <si>
    <t>義援金関係</t>
    <rPh sb="0" eb="3">
      <t>ギエンキン</t>
    </rPh>
    <rPh sb="3" eb="5">
      <t>カンケイ</t>
    </rPh>
    <phoneticPr fontId="21"/>
  </si>
  <si>
    <t>所法78
法法37</t>
    <rPh sb="0" eb="1">
      <t>ショ</t>
    </rPh>
    <rPh sb="1" eb="2">
      <t>ホウ</t>
    </rPh>
    <rPh sb="5" eb="6">
      <t>ホウ</t>
    </rPh>
    <rPh sb="6" eb="7">
      <t>ホウ</t>
    </rPh>
    <phoneticPr fontId="21"/>
  </si>
  <si>
    <t>②　地方税関係</t>
    <rPh sb="2" eb="4">
      <t>チホウ</t>
    </rPh>
    <rPh sb="4" eb="5">
      <t>ゼイ</t>
    </rPh>
    <rPh sb="5" eb="7">
      <t>カンケイ</t>
    </rPh>
    <phoneticPr fontId="21"/>
  </si>
  <si>
    <t>地法20の5の2
自治省通達</t>
    <rPh sb="0" eb="1">
      <t>チ</t>
    </rPh>
    <rPh sb="1" eb="2">
      <t>ホウ</t>
    </rPh>
    <rPh sb="9" eb="12">
      <t>ジチショウ</t>
    </rPh>
    <rPh sb="12" eb="14">
      <t>ツウタツ</t>
    </rPh>
    <phoneticPr fontId="21"/>
  </si>
  <si>
    <t>地法15
自治省通達</t>
    <rPh sb="0" eb="1">
      <t>チ</t>
    </rPh>
    <rPh sb="1" eb="2">
      <t>ホウ</t>
    </rPh>
    <rPh sb="5" eb="8">
      <t>ジチショウ</t>
    </rPh>
    <rPh sb="8" eb="10">
      <t>ツウタツ</t>
    </rPh>
    <phoneticPr fontId="21"/>
  </si>
  <si>
    <t>個人住民税
固定資産税
等</t>
    <rPh sb="0" eb="2">
      <t>コジン</t>
    </rPh>
    <rPh sb="2" eb="5">
      <t>ジュウミンゼイ</t>
    </rPh>
    <rPh sb="6" eb="8">
      <t>コテイ</t>
    </rPh>
    <rPh sb="8" eb="11">
      <t>シサンゼイ</t>
    </rPh>
    <rPh sb="12" eb="13">
      <t>トウ</t>
    </rPh>
    <phoneticPr fontId="21"/>
  </si>
  <si>
    <t>地法323　等
自治省通達</t>
    <rPh sb="0" eb="1">
      <t>チ</t>
    </rPh>
    <rPh sb="1" eb="2">
      <t>ホウ</t>
    </rPh>
    <rPh sb="6" eb="7">
      <t>トウ</t>
    </rPh>
    <rPh sb="8" eb="11">
      <t>ジチショウ</t>
    </rPh>
    <rPh sb="11" eb="13">
      <t>ツウタツ</t>
    </rPh>
    <phoneticPr fontId="21"/>
  </si>
  <si>
    <t>個人住民税</t>
    <rPh sb="0" eb="2">
      <t>コジン</t>
    </rPh>
    <rPh sb="2" eb="5">
      <t>ジュウミンゼイ</t>
    </rPh>
    <phoneticPr fontId="21"/>
  </si>
  <si>
    <t>雑損控除・被災事業用資産等の損失額の必要経費算入</t>
    <rPh sb="0" eb="2">
      <t>ザッソン</t>
    </rPh>
    <rPh sb="2" eb="4">
      <t>コウジョ</t>
    </rPh>
    <rPh sb="5" eb="7">
      <t>ヒサイ</t>
    </rPh>
    <rPh sb="7" eb="10">
      <t>ジギョウヨウ</t>
    </rPh>
    <rPh sb="10" eb="12">
      <t>シサン</t>
    </rPh>
    <rPh sb="12" eb="13">
      <t>トウ</t>
    </rPh>
    <rPh sb="14" eb="16">
      <t>ソンシツ</t>
    </rPh>
    <rPh sb="16" eb="17">
      <t>ガク</t>
    </rPh>
    <rPh sb="18" eb="20">
      <t>ヒツヨウ</t>
    </rPh>
    <rPh sb="20" eb="22">
      <t>ケイヒ</t>
    </rPh>
    <rPh sb="22" eb="24">
      <t>サンニュウ</t>
    </rPh>
    <phoneticPr fontId="21"/>
  </si>
  <si>
    <t>地法314の2
地法313</t>
    <rPh sb="0" eb="1">
      <t>チ</t>
    </rPh>
    <rPh sb="1" eb="2">
      <t>ホウ</t>
    </rPh>
    <rPh sb="8" eb="9">
      <t>チ</t>
    </rPh>
    <rPh sb="9" eb="10">
      <t>ホウ</t>
    </rPh>
    <phoneticPr fontId="21"/>
  </si>
  <si>
    <t>軽油引取税</t>
    <rPh sb="0" eb="5">
      <t>ケイユヒキトリゼイ</t>
    </rPh>
    <phoneticPr fontId="21"/>
  </si>
  <si>
    <t>徴収不能額等の還付等</t>
    <rPh sb="0" eb="2">
      <t>チョウシュウ</t>
    </rPh>
    <rPh sb="2" eb="4">
      <t>フノウ</t>
    </rPh>
    <rPh sb="4" eb="5">
      <t>ガク</t>
    </rPh>
    <rPh sb="5" eb="6">
      <t>トウ</t>
    </rPh>
    <rPh sb="7" eb="9">
      <t>カンプ</t>
    </rPh>
    <rPh sb="9" eb="10">
      <t>トウ</t>
    </rPh>
    <phoneticPr fontId="21"/>
  </si>
  <si>
    <t>地法700の21の2</t>
    <rPh sb="0" eb="1">
      <t>チ</t>
    </rPh>
    <rPh sb="1" eb="2">
      <t>ホウ</t>
    </rPh>
    <phoneticPr fontId="21"/>
  </si>
  <si>
    <t>①　国税関係</t>
    <rPh sb="2" eb="3">
      <t>クニ</t>
    </rPh>
    <rPh sb="3" eb="4">
      <t>ゼイ</t>
    </rPh>
    <rPh sb="4" eb="6">
      <t>カンケイ</t>
    </rPh>
    <phoneticPr fontId="21"/>
  </si>
  <si>
    <t>○災害により財産に相当な損害を受けた場合
　⇒その被害の程度に応じ1年以内の期間を限り納税が猶予される。
○災害に起因して納税が困難になった場合
　⇒納付困難な税額を限度として，1年以内（やむを得ない理由があるときは，更に1年）の期間を限り納税が猶予される。</t>
    <rPh sb="1" eb="3">
      <t>サイガイ</t>
    </rPh>
    <rPh sb="6" eb="8">
      <t>ザイサン</t>
    </rPh>
    <rPh sb="9" eb="11">
      <t>ソウトウ</t>
    </rPh>
    <rPh sb="12" eb="14">
      <t>ソンガイ</t>
    </rPh>
    <rPh sb="15" eb="16">
      <t>ウ</t>
    </rPh>
    <rPh sb="18" eb="20">
      <t>バアイ</t>
    </rPh>
    <rPh sb="25" eb="27">
      <t>ヒガイ</t>
    </rPh>
    <rPh sb="28" eb="30">
      <t>テイド</t>
    </rPh>
    <rPh sb="31" eb="32">
      <t>オウ</t>
    </rPh>
    <rPh sb="34" eb="35">
      <t>ネン</t>
    </rPh>
    <rPh sb="35" eb="37">
      <t>イナイ</t>
    </rPh>
    <rPh sb="38" eb="40">
      <t>キカン</t>
    </rPh>
    <rPh sb="41" eb="42">
      <t>カギ</t>
    </rPh>
    <rPh sb="43" eb="45">
      <t>ノウゼイ</t>
    </rPh>
    <rPh sb="46" eb="48">
      <t>ユウヨ</t>
    </rPh>
    <rPh sb="54" eb="56">
      <t>サイガイ</t>
    </rPh>
    <rPh sb="57" eb="59">
      <t>キイン</t>
    </rPh>
    <rPh sb="61" eb="63">
      <t>ノウゼイ</t>
    </rPh>
    <rPh sb="64" eb="66">
      <t>コンナン</t>
    </rPh>
    <rPh sb="70" eb="72">
      <t>バアイ</t>
    </rPh>
    <rPh sb="75" eb="77">
      <t>ノウフ</t>
    </rPh>
    <rPh sb="77" eb="79">
      <t>コンナン</t>
    </rPh>
    <rPh sb="80" eb="82">
      <t>ゼイガク</t>
    </rPh>
    <rPh sb="83" eb="85">
      <t>ゲンド</t>
    </rPh>
    <rPh sb="90" eb="91">
      <t>ネン</t>
    </rPh>
    <rPh sb="91" eb="93">
      <t>イナイ</t>
    </rPh>
    <rPh sb="97" eb="98">
      <t>エ</t>
    </rPh>
    <rPh sb="100" eb="102">
      <t>リユウ</t>
    </rPh>
    <rPh sb="109" eb="110">
      <t>サラ</t>
    </rPh>
    <rPh sb="112" eb="113">
      <t>ネン</t>
    </rPh>
    <rPh sb="118" eb="119">
      <t>カギ</t>
    </rPh>
    <rPh sb="120" eb="122">
      <t>ノウゼイ</t>
    </rPh>
    <rPh sb="123" eb="125">
      <t>ユウヨ</t>
    </rPh>
    <phoneticPr fontId="21"/>
  </si>
  <si>
    <t>災害その他やむを得ない理由により申告，納付等をその期限までに行えないと認められる場合
　⇒その理由がやんだ日から2か月の範囲内で，その期限を延長することができる（この期限延長には，国税庁長官による地域指定と税務署長等による個別指定がある）。</t>
    <rPh sb="0" eb="2">
      <t>サイガイ</t>
    </rPh>
    <rPh sb="4" eb="5">
      <t>タ</t>
    </rPh>
    <rPh sb="8" eb="9">
      <t>エ</t>
    </rPh>
    <rPh sb="11" eb="13">
      <t>リユウ</t>
    </rPh>
    <rPh sb="16" eb="18">
      <t>シンコク</t>
    </rPh>
    <rPh sb="19" eb="21">
      <t>ノウフ</t>
    </rPh>
    <rPh sb="21" eb="22">
      <t>トウ</t>
    </rPh>
    <rPh sb="25" eb="27">
      <t>キゲン</t>
    </rPh>
    <rPh sb="30" eb="31">
      <t>オコナ</t>
    </rPh>
    <rPh sb="35" eb="36">
      <t>ミト</t>
    </rPh>
    <rPh sb="40" eb="42">
      <t>バアイ</t>
    </rPh>
    <rPh sb="47" eb="49">
      <t>リユウ</t>
    </rPh>
    <rPh sb="53" eb="54">
      <t>ヒ</t>
    </rPh>
    <rPh sb="58" eb="59">
      <t>ゲツ</t>
    </rPh>
    <rPh sb="60" eb="62">
      <t>ハンイ</t>
    </rPh>
    <rPh sb="62" eb="63">
      <t>ナイ</t>
    </rPh>
    <rPh sb="67" eb="69">
      <t>キゲン</t>
    </rPh>
    <rPh sb="70" eb="72">
      <t>エンチョウ</t>
    </rPh>
    <rPh sb="83" eb="85">
      <t>キゲン</t>
    </rPh>
    <rPh sb="85" eb="87">
      <t>エンチョウ</t>
    </rPh>
    <rPh sb="90" eb="92">
      <t>コクゼイ</t>
    </rPh>
    <rPh sb="92" eb="93">
      <t>チョウ</t>
    </rPh>
    <rPh sb="98" eb="100">
      <t>チイキ</t>
    </rPh>
    <rPh sb="100" eb="102">
      <t>シテイ</t>
    </rPh>
    <rPh sb="103" eb="105">
      <t>ゼイム</t>
    </rPh>
    <rPh sb="105" eb="107">
      <t>ショチョウ</t>
    </rPh>
    <rPh sb="107" eb="108">
      <t>トウ</t>
    </rPh>
    <rPh sb="111" eb="113">
      <t>コベツ</t>
    </rPh>
    <rPh sb="113" eb="115">
      <t>シテイ</t>
    </rPh>
    <phoneticPr fontId="21"/>
  </si>
  <si>
    <t>災害によって住宅や家財などの損害を受けた場合
⇒雑損控除，災害減免法のいずれか有利な方法を選択することにより，所得税の全部又は一部が軽減される。
雑損控除の結果，控除しきれない雑損失の金額があるときは，その翌年以降3年間にわたり繰越控除ができる。</t>
    <rPh sb="0" eb="2">
      <t>サイガイ</t>
    </rPh>
    <rPh sb="6" eb="8">
      <t>ジュウタク</t>
    </rPh>
    <rPh sb="9" eb="11">
      <t>カザイ</t>
    </rPh>
    <rPh sb="14" eb="16">
      <t>ソンガイ</t>
    </rPh>
    <rPh sb="17" eb="18">
      <t>ウ</t>
    </rPh>
    <rPh sb="20" eb="22">
      <t>バアイ</t>
    </rPh>
    <rPh sb="24" eb="26">
      <t>ザッソン</t>
    </rPh>
    <rPh sb="26" eb="28">
      <t>コウジョ</t>
    </rPh>
    <rPh sb="29" eb="31">
      <t>サイガイ</t>
    </rPh>
    <rPh sb="31" eb="33">
      <t>ゲンメン</t>
    </rPh>
    <rPh sb="33" eb="34">
      <t>ホウ</t>
    </rPh>
    <rPh sb="39" eb="41">
      <t>ユウリ</t>
    </rPh>
    <rPh sb="42" eb="43">
      <t>ホウ</t>
    </rPh>
    <rPh sb="43" eb="44">
      <t>ホウ</t>
    </rPh>
    <rPh sb="45" eb="47">
      <t>センタク</t>
    </rPh>
    <rPh sb="59" eb="61">
      <t>ゼンブ</t>
    </rPh>
    <rPh sb="61" eb="62">
      <t>マタ</t>
    </rPh>
    <rPh sb="63" eb="65">
      <t>イチブ</t>
    </rPh>
    <rPh sb="66" eb="68">
      <t>ケイゲン</t>
    </rPh>
    <rPh sb="73" eb="75">
      <t>ザッソン</t>
    </rPh>
    <rPh sb="75" eb="77">
      <t>コウジョ</t>
    </rPh>
    <rPh sb="78" eb="80">
      <t>ケッカ</t>
    </rPh>
    <rPh sb="81" eb="83">
      <t>コウジョ</t>
    </rPh>
    <rPh sb="88" eb="90">
      <t>ザッソン</t>
    </rPh>
    <rPh sb="90" eb="91">
      <t>シツ</t>
    </rPh>
    <rPh sb="92" eb="93">
      <t>キン</t>
    </rPh>
    <rPh sb="93" eb="94">
      <t>ガク</t>
    </rPh>
    <rPh sb="103" eb="104">
      <t>ヨク</t>
    </rPh>
    <rPh sb="104" eb="105">
      <t>ネン</t>
    </rPh>
    <rPh sb="108" eb="110">
      <t>ネンカン</t>
    </rPh>
    <rPh sb="114" eb="116">
      <t>クリコシ</t>
    </rPh>
    <phoneticPr fontId="21"/>
  </si>
  <si>
    <t>事業所得者が事業用固定資産等について災害により被害を受けた場合
⇒その損失額は，必要経費に算入される。
その結果，事業所得が欠損となれば，その損失額は，その年の他の所得から控除できる（いわゆる損益通算）。
その年の他の所得から控除しきれなかった損失額があれば，その翌年以降3年間にわたり繰越控除ができる。</t>
    <rPh sb="0" eb="2">
      <t>ジギョウ</t>
    </rPh>
    <rPh sb="2" eb="4">
      <t>ショトク</t>
    </rPh>
    <rPh sb="4" eb="5">
      <t>シャ</t>
    </rPh>
    <rPh sb="6" eb="9">
      <t>ジギョウヨウ</t>
    </rPh>
    <rPh sb="9" eb="11">
      <t>コテイ</t>
    </rPh>
    <rPh sb="11" eb="13">
      <t>シサン</t>
    </rPh>
    <rPh sb="13" eb="14">
      <t>トウ</t>
    </rPh>
    <rPh sb="18" eb="20">
      <t>サイガイ</t>
    </rPh>
    <rPh sb="23" eb="25">
      <t>ヒガイ</t>
    </rPh>
    <rPh sb="26" eb="27">
      <t>ウ</t>
    </rPh>
    <rPh sb="29" eb="31">
      <t>バアイ</t>
    </rPh>
    <rPh sb="35" eb="37">
      <t>ソンシツ</t>
    </rPh>
    <rPh sb="37" eb="38">
      <t>ガク</t>
    </rPh>
    <rPh sb="40" eb="42">
      <t>ヒツヨウ</t>
    </rPh>
    <rPh sb="42" eb="44">
      <t>ケイヒ</t>
    </rPh>
    <rPh sb="45" eb="47">
      <t>サンニュウ</t>
    </rPh>
    <rPh sb="54" eb="56">
      <t>ケッカ</t>
    </rPh>
    <rPh sb="57" eb="59">
      <t>ジギョウ</t>
    </rPh>
    <rPh sb="59" eb="61">
      <t>ショトク</t>
    </rPh>
    <rPh sb="62" eb="64">
      <t>ケッソン</t>
    </rPh>
    <rPh sb="71" eb="73">
      <t>ソンシツ</t>
    </rPh>
    <rPh sb="73" eb="74">
      <t>ガク</t>
    </rPh>
    <rPh sb="78" eb="79">
      <t>トシ</t>
    </rPh>
    <rPh sb="80" eb="81">
      <t>タ</t>
    </rPh>
    <rPh sb="82" eb="84">
      <t>ショトク</t>
    </rPh>
    <rPh sb="86" eb="88">
      <t>コウジョ</t>
    </rPh>
    <rPh sb="96" eb="98">
      <t>ソンエキ</t>
    </rPh>
    <rPh sb="105" eb="106">
      <t>トシ</t>
    </rPh>
    <rPh sb="107" eb="108">
      <t>タ</t>
    </rPh>
    <rPh sb="109" eb="111">
      <t>ショトク</t>
    </rPh>
    <rPh sb="113" eb="115">
      <t>コウジョ</t>
    </rPh>
    <rPh sb="122" eb="124">
      <t>ソンシツ</t>
    </rPh>
    <rPh sb="124" eb="125">
      <t>ガク</t>
    </rPh>
    <rPh sb="132" eb="133">
      <t>ヨク</t>
    </rPh>
    <rPh sb="133" eb="134">
      <t>ネン</t>
    </rPh>
    <rPh sb="143" eb="145">
      <t>クリコシ</t>
    </rPh>
    <rPh sb="145" eb="147">
      <t>コウジョ</t>
    </rPh>
    <phoneticPr fontId="21"/>
  </si>
  <si>
    <t>事業用固定資産等について災害により被害を受けた場合
⇒その損失額は，損金の額に算入される。
その結果，その事業年度の所得が欠損となれば，その欠損金額のうち災害損失金については，その翌事業年度以降7年間にわたり繰越控除ができる。</t>
    <rPh sb="0" eb="3">
      <t>ジギョウヨウ</t>
    </rPh>
    <rPh sb="3" eb="5">
      <t>コテイ</t>
    </rPh>
    <rPh sb="5" eb="7">
      <t>シサン</t>
    </rPh>
    <rPh sb="7" eb="8">
      <t>トウ</t>
    </rPh>
    <rPh sb="12" eb="14">
      <t>サイガイ</t>
    </rPh>
    <rPh sb="17" eb="19">
      <t>ヒガイ</t>
    </rPh>
    <rPh sb="20" eb="21">
      <t>ウ</t>
    </rPh>
    <rPh sb="23" eb="25">
      <t>バアイ</t>
    </rPh>
    <rPh sb="29" eb="31">
      <t>ソンシツ</t>
    </rPh>
    <rPh sb="31" eb="32">
      <t>ガク</t>
    </rPh>
    <rPh sb="34" eb="36">
      <t>ソンキン</t>
    </rPh>
    <rPh sb="37" eb="38">
      <t>ガク</t>
    </rPh>
    <rPh sb="39" eb="41">
      <t>サンニュウ</t>
    </rPh>
    <rPh sb="48" eb="50">
      <t>ケッカ</t>
    </rPh>
    <rPh sb="53" eb="55">
      <t>ジギョウ</t>
    </rPh>
    <rPh sb="55" eb="57">
      <t>ネンド</t>
    </rPh>
    <rPh sb="58" eb="60">
      <t>ショトク</t>
    </rPh>
    <rPh sb="61" eb="63">
      <t>ケッソン</t>
    </rPh>
    <rPh sb="70" eb="72">
      <t>ケッソン</t>
    </rPh>
    <rPh sb="72" eb="73">
      <t>キン</t>
    </rPh>
    <rPh sb="73" eb="74">
      <t>ガク</t>
    </rPh>
    <rPh sb="81" eb="82">
      <t>キン</t>
    </rPh>
    <rPh sb="90" eb="91">
      <t>ヨク</t>
    </rPh>
    <rPh sb="91" eb="93">
      <t>ジギョウ</t>
    </rPh>
    <rPh sb="93" eb="95">
      <t>ネンド</t>
    </rPh>
    <rPh sb="95" eb="97">
      <t>イコウ</t>
    </rPh>
    <rPh sb="98" eb="100">
      <t>ネンカン</t>
    </rPh>
    <rPh sb="104" eb="106">
      <t>クリコシ</t>
    </rPh>
    <rPh sb="106" eb="108">
      <t>コウジョ</t>
    </rPh>
    <phoneticPr fontId="21"/>
  </si>
  <si>
    <t>酒税，たばこ税，揮発油税，地方道路税，石油ガス税，石油石炭税を課せられたものが災害により滅失等した場合
⇒その税相当額をその納税義務者が被災日以後に納付すべき税額から控除又は還付する（「税相当額」には，納税義務者でない所持者の被災酒類等について損失補償をした金額を含む）。</t>
    <rPh sb="0" eb="1">
      <t>シュ</t>
    </rPh>
    <rPh sb="1" eb="2">
      <t>ゼイ</t>
    </rPh>
    <rPh sb="6" eb="7">
      <t>ゼイ</t>
    </rPh>
    <rPh sb="8" eb="12">
      <t>キハツユゼイ</t>
    </rPh>
    <rPh sb="13" eb="15">
      <t>チホウ</t>
    </rPh>
    <rPh sb="15" eb="17">
      <t>ドウロ</t>
    </rPh>
    <rPh sb="17" eb="18">
      <t>ゼイ</t>
    </rPh>
    <rPh sb="19" eb="21">
      <t>セキユ</t>
    </rPh>
    <rPh sb="23" eb="24">
      <t>ゼイ</t>
    </rPh>
    <rPh sb="25" eb="27">
      <t>セキユ</t>
    </rPh>
    <rPh sb="27" eb="29">
      <t>セキタン</t>
    </rPh>
    <rPh sb="29" eb="30">
      <t>ゼイ</t>
    </rPh>
    <rPh sb="31" eb="32">
      <t>カ</t>
    </rPh>
    <rPh sb="39" eb="41">
      <t>サイガイ</t>
    </rPh>
    <rPh sb="44" eb="46">
      <t>メッシツ</t>
    </rPh>
    <rPh sb="46" eb="47">
      <t>トウ</t>
    </rPh>
    <rPh sb="49" eb="51">
      <t>バアイ</t>
    </rPh>
    <rPh sb="55" eb="56">
      <t>ゼイ</t>
    </rPh>
    <rPh sb="56" eb="58">
      <t>ソウトウ</t>
    </rPh>
    <rPh sb="58" eb="59">
      <t>ガク</t>
    </rPh>
    <rPh sb="62" eb="64">
      <t>ノウゼイ</t>
    </rPh>
    <rPh sb="64" eb="67">
      <t>ギムシャ</t>
    </rPh>
    <rPh sb="68" eb="70">
      <t>ヒサイ</t>
    </rPh>
    <rPh sb="70" eb="71">
      <t>ヒ</t>
    </rPh>
    <rPh sb="71" eb="73">
      <t>イゴ</t>
    </rPh>
    <rPh sb="74" eb="76">
      <t>ノウフ</t>
    </rPh>
    <rPh sb="79" eb="81">
      <t>ゼイガク</t>
    </rPh>
    <rPh sb="83" eb="85">
      <t>コウジョ</t>
    </rPh>
    <rPh sb="85" eb="86">
      <t>マタ</t>
    </rPh>
    <rPh sb="93" eb="94">
      <t>ゼイ</t>
    </rPh>
    <rPh sb="94" eb="96">
      <t>ソウトウ</t>
    </rPh>
    <rPh sb="96" eb="97">
      <t>ガク</t>
    </rPh>
    <rPh sb="103" eb="106">
      <t>ギムシャ</t>
    </rPh>
    <rPh sb="109" eb="112">
      <t>ショジシャ</t>
    </rPh>
    <rPh sb="113" eb="115">
      <t>ヒサイ</t>
    </rPh>
    <rPh sb="115" eb="117">
      <t>シュルイ</t>
    </rPh>
    <rPh sb="117" eb="118">
      <t>トウ</t>
    </rPh>
    <rPh sb="122" eb="124">
      <t>ソンシツ</t>
    </rPh>
    <rPh sb="124" eb="126">
      <t>ホショウ</t>
    </rPh>
    <rPh sb="129" eb="130">
      <t>キン</t>
    </rPh>
    <rPh sb="130" eb="131">
      <t>ガク</t>
    </rPh>
    <rPh sb="132" eb="133">
      <t>フク</t>
    </rPh>
    <phoneticPr fontId="21"/>
  </si>
  <si>
    <t>消費税が課された商品等で事業者が所有するものが災害により滅失等した場合
⇒仕入れに課せられた消費税は仕入額控除の対象となるので，滅失等した商品等について消費税の負担を負うことはない。</t>
    <rPh sb="0" eb="3">
      <t>ショウヒゼイ</t>
    </rPh>
    <rPh sb="4" eb="5">
      <t>カ</t>
    </rPh>
    <rPh sb="8" eb="10">
      <t>ショウヒン</t>
    </rPh>
    <rPh sb="10" eb="11">
      <t>トウ</t>
    </rPh>
    <rPh sb="12" eb="14">
      <t>ジギョウ</t>
    </rPh>
    <rPh sb="14" eb="15">
      <t>シャ</t>
    </rPh>
    <rPh sb="16" eb="18">
      <t>ショユウ</t>
    </rPh>
    <rPh sb="23" eb="25">
      <t>サイガイ</t>
    </rPh>
    <rPh sb="28" eb="30">
      <t>メッシツ</t>
    </rPh>
    <rPh sb="30" eb="31">
      <t>トウ</t>
    </rPh>
    <rPh sb="33" eb="35">
      <t>バアイ</t>
    </rPh>
    <rPh sb="37" eb="39">
      <t>シイ</t>
    </rPh>
    <rPh sb="41" eb="42">
      <t>カ</t>
    </rPh>
    <rPh sb="46" eb="49">
      <t>ショウヒゼイ</t>
    </rPh>
    <rPh sb="50" eb="52">
      <t>シイレ</t>
    </rPh>
    <rPh sb="52" eb="53">
      <t>ガク</t>
    </rPh>
    <rPh sb="53" eb="55">
      <t>コウジョ</t>
    </rPh>
    <rPh sb="56" eb="58">
      <t>タイショウ</t>
    </rPh>
    <rPh sb="64" eb="66">
      <t>メッシツ</t>
    </rPh>
    <rPh sb="66" eb="67">
      <t>トウ</t>
    </rPh>
    <rPh sb="69" eb="70">
      <t>ショウ</t>
    </rPh>
    <rPh sb="70" eb="71">
      <t>シナ</t>
    </rPh>
    <rPh sb="71" eb="72">
      <t>トウ</t>
    </rPh>
    <rPh sb="76" eb="79">
      <t>ショウヒゼイ</t>
    </rPh>
    <rPh sb="80" eb="82">
      <t>フタン</t>
    </rPh>
    <rPh sb="83" eb="84">
      <t>オ</t>
    </rPh>
    <phoneticPr fontId="21"/>
  </si>
  <si>
    <t>取得財産について災害により甚大な被害（課税価格の計算の基礎となった財産価額の10分の1以上又は土地等を除いた財産価額の10分の1以上）を受けた場合
⇒
・申告書提出期限後にあっては，被害にあった日以後の納付すべき税額のうち被害を受けた部分に対する税額が免除される。
・申告書提出期限前にあっては，その取得財産の価額から被害を受けた部分の価額を控除した金額について相続税等の計算を行う。</t>
    <rPh sb="0" eb="2">
      <t>シュトク</t>
    </rPh>
    <rPh sb="2" eb="4">
      <t>ザイサン</t>
    </rPh>
    <rPh sb="8" eb="10">
      <t>サイガイ</t>
    </rPh>
    <rPh sb="13" eb="15">
      <t>ジンダイ</t>
    </rPh>
    <rPh sb="16" eb="18">
      <t>ヒガイ</t>
    </rPh>
    <rPh sb="19" eb="20">
      <t>カ</t>
    </rPh>
    <rPh sb="20" eb="21">
      <t>ゼイ</t>
    </rPh>
    <rPh sb="21" eb="23">
      <t>カカク</t>
    </rPh>
    <rPh sb="24" eb="26">
      <t>ケイサン</t>
    </rPh>
    <rPh sb="27" eb="29">
      <t>キソ</t>
    </rPh>
    <rPh sb="33" eb="35">
      <t>ザイサン</t>
    </rPh>
    <rPh sb="35" eb="37">
      <t>カガク</t>
    </rPh>
    <rPh sb="40" eb="41">
      <t>ブン</t>
    </rPh>
    <rPh sb="43" eb="45">
      <t>イジョウ</t>
    </rPh>
    <rPh sb="45" eb="46">
      <t>マタ</t>
    </rPh>
    <rPh sb="47" eb="49">
      <t>トチ</t>
    </rPh>
    <rPh sb="49" eb="50">
      <t>トウ</t>
    </rPh>
    <rPh sb="51" eb="52">
      <t>ノゾ</t>
    </rPh>
    <rPh sb="54" eb="56">
      <t>ザイサン</t>
    </rPh>
    <rPh sb="56" eb="58">
      <t>カガク</t>
    </rPh>
    <rPh sb="61" eb="62">
      <t>ブン</t>
    </rPh>
    <rPh sb="64" eb="66">
      <t>イジョウ</t>
    </rPh>
    <rPh sb="68" eb="69">
      <t>ウ</t>
    </rPh>
    <rPh sb="71" eb="73">
      <t>バアイ</t>
    </rPh>
    <rPh sb="77" eb="79">
      <t>シンコク</t>
    </rPh>
    <rPh sb="79" eb="80">
      <t>ショ</t>
    </rPh>
    <rPh sb="80" eb="82">
      <t>テイシュツ</t>
    </rPh>
    <rPh sb="82" eb="84">
      <t>キゲン</t>
    </rPh>
    <rPh sb="84" eb="85">
      <t>ゴ</t>
    </rPh>
    <rPh sb="91" eb="93">
      <t>ヒガイ</t>
    </rPh>
    <rPh sb="97" eb="98">
      <t>ヒ</t>
    </rPh>
    <rPh sb="98" eb="100">
      <t>イゴ</t>
    </rPh>
    <rPh sb="101" eb="103">
      <t>ノウフ</t>
    </rPh>
    <rPh sb="106" eb="108">
      <t>ゼイガク</t>
    </rPh>
    <rPh sb="114" eb="115">
      <t>ウ</t>
    </rPh>
    <rPh sb="117" eb="119">
      <t>ブブン</t>
    </rPh>
    <rPh sb="120" eb="121">
      <t>タイ</t>
    </rPh>
    <rPh sb="123" eb="125">
      <t>ゼイガク</t>
    </rPh>
    <rPh sb="126" eb="128">
      <t>メンジョ</t>
    </rPh>
    <rPh sb="134" eb="137">
      <t>シンコクショ</t>
    </rPh>
    <rPh sb="137" eb="139">
      <t>テイシュツ</t>
    </rPh>
    <rPh sb="139" eb="141">
      <t>キゲン</t>
    </rPh>
    <rPh sb="141" eb="142">
      <t>マエ</t>
    </rPh>
    <rPh sb="150" eb="152">
      <t>シュトク</t>
    </rPh>
    <rPh sb="152" eb="154">
      <t>ザイサン</t>
    </rPh>
    <rPh sb="155" eb="157">
      <t>カガク</t>
    </rPh>
    <rPh sb="159" eb="161">
      <t>ヒガイ</t>
    </rPh>
    <rPh sb="162" eb="163">
      <t>ウ</t>
    </rPh>
    <rPh sb="175" eb="176">
      <t>キン</t>
    </rPh>
    <rPh sb="176" eb="177">
      <t>ガク</t>
    </rPh>
    <rPh sb="184" eb="185">
      <t>トウ</t>
    </rPh>
    <rPh sb="186" eb="188">
      <t>ケイサン</t>
    </rPh>
    <rPh sb="189" eb="190">
      <t>オコナ</t>
    </rPh>
    <phoneticPr fontId="21"/>
  </si>
  <si>
    <t>阪神・淡路大震災に係る義援金（募金団体を通じる等により最終的に兵庫県等の地方公共団体に寄付される義捐金）を支出した場合
⇒個人の場合は寄附金控除の対象となり，法人の場合は全額損金算入される｡</t>
    <rPh sb="0" eb="2">
      <t>ハンシン</t>
    </rPh>
    <rPh sb="3" eb="5">
      <t>アワジ</t>
    </rPh>
    <rPh sb="5" eb="8">
      <t>ダイシンサイ</t>
    </rPh>
    <rPh sb="9" eb="10">
      <t>カカ</t>
    </rPh>
    <rPh sb="11" eb="14">
      <t>ギエンキン</t>
    </rPh>
    <rPh sb="15" eb="17">
      <t>ボキン</t>
    </rPh>
    <rPh sb="17" eb="19">
      <t>ダンタイ</t>
    </rPh>
    <rPh sb="20" eb="21">
      <t>ツウ</t>
    </rPh>
    <rPh sb="23" eb="24">
      <t>トウ</t>
    </rPh>
    <rPh sb="27" eb="30">
      <t>サイシュウテキ</t>
    </rPh>
    <rPh sb="31" eb="34">
      <t>ヒョウゴケン</t>
    </rPh>
    <rPh sb="34" eb="35">
      <t>トウ</t>
    </rPh>
    <rPh sb="36" eb="38">
      <t>チホウ</t>
    </rPh>
    <rPh sb="38" eb="40">
      <t>コウキョウ</t>
    </rPh>
    <rPh sb="40" eb="42">
      <t>ダンタイ</t>
    </rPh>
    <rPh sb="43" eb="45">
      <t>キフ</t>
    </rPh>
    <rPh sb="48" eb="51">
      <t>ギエンキン</t>
    </rPh>
    <rPh sb="53" eb="55">
      <t>シシュツ</t>
    </rPh>
    <rPh sb="57" eb="59">
      <t>バアイ</t>
    </rPh>
    <rPh sb="61" eb="63">
      <t>コジン</t>
    </rPh>
    <rPh sb="64" eb="66">
      <t>バアイ</t>
    </rPh>
    <rPh sb="67" eb="70">
      <t>キフキン</t>
    </rPh>
    <rPh sb="70" eb="72">
      <t>コウジョ</t>
    </rPh>
    <rPh sb="73" eb="75">
      <t>タイショウ</t>
    </rPh>
    <rPh sb="79" eb="81">
      <t>ホウジン</t>
    </rPh>
    <rPh sb="82" eb="84">
      <t>バアイ</t>
    </rPh>
    <rPh sb="85" eb="87">
      <t>ゼンガク</t>
    </rPh>
    <rPh sb="87" eb="89">
      <t>ソンキン</t>
    </rPh>
    <rPh sb="89" eb="91">
      <t>サンニュウ</t>
    </rPh>
    <phoneticPr fontId="21"/>
  </si>
  <si>
    <t>災害その他やむを得ない理由により申告，納付等をその期限までに行えないと認められる場合
⇒　条例の定めるところにより，その期限を延長することができる（地域及び災害がやんだ日から2月以内の期日を指定して画一的にその期限を延長することが適当であるとされている）。</t>
    <rPh sb="0" eb="2">
      <t>サイガイ</t>
    </rPh>
    <rPh sb="4" eb="5">
      <t>タ</t>
    </rPh>
    <rPh sb="8" eb="9">
      <t>エ</t>
    </rPh>
    <rPh sb="11" eb="13">
      <t>リユウ</t>
    </rPh>
    <rPh sb="16" eb="18">
      <t>シンコク</t>
    </rPh>
    <rPh sb="19" eb="21">
      <t>ノウフ</t>
    </rPh>
    <rPh sb="21" eb="22">
      <t>トウ</t>
    </rPh>
    <rPh sb="25" eb="27">
      <t>キゲン</t>
    </rPh>
    <rPh sb="30" eb="31">
      <t>オコナ</t>
    </rPh>
    <rPh sb="35" eb="36">
      <t>ミト</t>
    </rPh>
    <rPh sb="40" eb="42">
      <t>バアイ</t>
    </rPh>
    <rPh sb="45" eb="47">
      <t>ジョウレイ</t>
    </rPh>
    <rPh sb="48" eb="49">
      <t>サダ</t>
    </rPh>
    <rPh sb="60" eb="62">
      <t>キゲン</t>
    </rPh>
    <rPh sb="63" eb="65">
      <t>エンチョウ</t>
    </rPh>
    <rPh sb="74" eb="76">
      <t>チイキ</t>
    </rPh>
    <rPh sb="76" eb="77">
      <t>オヨ</t>
    </rPh>
    <rPh sb="78" eb="80">
      <t>サイガイ</t>
    </rPh>
    <rPh sb="84" eb="85">
      <t>ヒ</t>
    </rPh>
    <rPh sb="88" eb="89">
      <t>ガツ</t>
    </rPh>
    <rPh sb="89" eb="91">
      <t>イナイ</t>
    </rPh>
    <rPh sb="92" eb="94">
      <t>キジツ</t>
    </rPh>
    <rPh sb="95" eb="97">
      <t>シテイ</t>
    </rPh>
    <rPh sb="99" eb="102">
      <t>カクイツテキ</t>
    </rPh>
    <rPh sb="105" eb="107">
      <t>キゲン</t>
    </rPh>
    <rPh sb="108" eb="110">
      <t>エンチョウ</t>
    </rPh>
    <phoneticPr fontId="21"/>
  </si>
  <si>
    <t>災害に起因して納税が困難になった場合
⇒納付困難な税額を限度として，1年以内（やむを得ない理由があるときは，更に1年）の期間を限り納税が猶予される。</t>
    <rPh sb="0" eb="2">
      <t>サイガイ</t>
    </rPh>
    <rPh sb="3" eb="5">
      <t>キイン</t>
    </rPh>
    <rPh sb="7" eb="9">
      <t>ノウゼイ</t>
    </rPh>
    <rPh sb="10" eb="12">
      <t>コンナン</t>
    </rPh>
    <rPh sb="16" eb="18">
      <t>バアイ</t>
    </rPh>
    <rPh sb="20" eb="22">
      <t>ノウフ</t>
    </rPh>
    <rPh sb="22" eb="24">
      <t>コンナン</t>
    </rPh>
    <rPh sb="25" eb="27">
      <t>ゼイガク</t>
    </rPh>
    <rPh sb="28" eb="30">
      <t>ゲンド</t>
    </rPh>
    <rPh sb="35" eb="36">
      <t>ネン</t>
    </rPh>
    <rPh sb="36" eb="38">
      <t>イナイ</t>
    </rPh>
    <rPh sb="42" eb="43">
      <t>エ</t>
    </rPh>
    <rPh sb="45" eb="47">
      <t>リユウ</t>
    </rPh>
    <rPh sb="54" eb="55">
      <t>サラ</t>
    </rPh>
    <rPh sb="57" eb="58">
      <t>ネン</t>
    </rPh>
    <rPh sb="60" eb="62">
      <t>キカン</t>
    </rPh>
    <rPh sb="63" eb="64">
      <t>カギ</t>
    </rPh>
    <rPh sb="65" eb="67">
      <t>ノウゼイ</t>
    </rPh>
    <rPh sb="68" eb="70">
      <t>ユウヨ</t>
    </rPh>
    <phoneticPr fontId="21"/>
  </si>
  <si>
    <t>災害に起因して減免を必要とすると認める者について，条例で定めるところにより減免することができる（個人住民税，個人事業税，自動車税及び固定資産税の4税目については，自治省事務次官通達において損害の程度に応じた減免基準が定められている）。</t>
    <rPh sb="0" eb="2">
      <t>サイガイ</t>
    </rPh>
    <rPh sb="3" eb="5">
      <t>キイン</t>
    </rPh>
    <rPh sb="7" eb="9">
      <t>ゲンメン</t>
    </rPh>
    <rPh sb="10" eb="12">
      <t>ヒツヨウ</t>
    </rPh>
    <rPh sb="16" eb="17">
      <t>ミト</t>
    </rPh>
    <rPh sb="19" eb="20">
      <t>モノ</t>
    </rPh>
    <rPh sb="25" eb="27">
      <t>ジョウレイ</t>
    </rPh>
    <rPh sb="28" eb="29">
      <t>サダ</t>
    </rPh>
    <rPh sb="37" eb="39">
      <t>ゲンメン</t>
    </rPh>
    <rPh sb="48" eb="50">
      <t>コジン</t>
    </rPh>
    <rPh sb="50" eb="53">
      <t>ジュウミンゼイ</t>
    </rPh>
    <rPh sb="54" eb="56">
      <t>コジン</t>
    </rPh>
    <rPh sb="56" eb="59">
      <t>ジギョウゼイ</t>
    </rPh>
    <rPh sb="60" eb="63">
      <t>ジドウシャ</t>
    </rPh>
    <rPh sb="63" eb="64">
      <t>ゼイ</t>
    </rPh>
    <rPh sb="64" eb="65">
      <t>オヨ</t>
    </rPh>
    <rPh sb="66" eb="68">
      <t>コテイ</t>
    </rPh>
    <rPh sb="68" eb="71">
      <t>シサンゼイ</t>
    </rPh>
    <rPh sb="73" eb="75">
      <t>ゼイモク</t>
    </rPh>
    <rPh sb="81" eb="84">
      <t>ジチショウ</t>
    </rPh>
    <rPh sb="84" eb="86">
      <t>ジム</t>
    </rPh>
    <rPh sb="86" eb="88">
      <t>ジカン</t>
    </rPh>
    <rPh sb="88" eb="90">
      <t>ツウタツ</t>
    </rPh>
    <rPh sb="94" eb="96">
      <t>ソンガイ</t>
    </rPh>
    <rPh sb="97" eb="99">
      <t>テイド</t>
    </rPh>
    <rPh sb="100" eb="101">
      <t>オウ</t>
    </rPh>
    <rPh sb="103" eb="105">
      <t>ゲンメン</t>
    </rPh>
    <rPh sb="105" eb="107">
      <t>キジュン</t>
    </rPh>
    <rPh sb="108" eb="109">
      <t>サダ</t>
    </rPh>
    <phoneticPr fontId="21"/>
  </si>
  <si>
    <t>（所得税と同じ）</t>
    <rPh sb="1" eb="4">
      <t>ショトクゼイ</t>
    </rPh>
    <rPh sb="5" eb="6">
      <t>オナ</t>
    </rPh>
    <phoneticPr fontId="21"/>
  </si>
  <si>
    <t>震災により特別徴収義務者が納税者から税を受け取ることができなくなった場合，又は震災により失った場合は，申請により，その事実が確認された税額相当分について，還付又は納入義務の免除がされる。</t>
    <rPh sb="0" eb="2">
      <t>シンサイ</t>
    </rPh>
    <rPh sb="5" eb="7">
      <t>トクベツ</t>
    </rPh>
    <rPh sb="7" eb="9">
      <t>チョウシュウ</t>
    </rPh>
    <rPh sb="9" eb="12">
      <t>ギムシャ</t>
    </rPh>
    <rPh sb="13" eb="15">
      <t>ノウゼイ</t>
    </rPh>
    <rPh sb="15" eb="16">
      <t>シャ</t>
    </rPh>
    <rPh sb="18" eb="19">
      <t>ゼイ</t>
    </rPh>
    <rPh sb="20" eb="21">
      <t>ウ</t>
    </rPh>
    <rPh sb="22" eb="23">
      <t>ト</t>
    </rPh>
    <rPh sb="34" eb="36">
      <t>バアイ</t>
    </rPh>
    <rPh sb="37" eb="38">
      <t>マタ</t>
    </rPh>
    <rPh sb="39" eb="41">
      <t>シンサイ</t>
    </rPh>
    <rPh sb="44" eb="45">
      <t>ウシナ</t>
    </rPh>
    <rPh sb="47" eb="49">
      <t>バアイ</t>
    </rPh>
    <rPh sb="51" eb="53">
      <t>シンセイ</t>
    </rPh>
    <rPh sb="59" eb="61">
      <t>ジジツ</t>
    </rPh>
    <rPh sb="62" eb="64">
      <t>カクニン</t>
    </rPh>
    <rPh sb="67" eb="69">
      <t>ゼイガク</t>
    </rPh>
    <rPh sb="69" eb="71">
      <t>ソウトウ</t>
    </rPh>
    <rPh sb="71" eb="72">
      <t>ブン</t>
    </rPh>
    <rPh sb="77" eb="79">
      <t>カンプ</t>
    </rPh>
    <rPh sb="79" eb="80">
      <t>マタ</t>
    </rPh>
    <rPh sb="81" eb="83">
      <t>ノウニュウ</t>
    </rPh>
    <rPh sb="83" eb="85">
      <t>ギム</t>
    </rPh>
    <rPh sb="86" eb="88">
      <t>メンジョ</t>
    </rPh>
    <phoneticPr fontId="21"/>
  </si>
  <si>
    <t>通則法…国税通則法，所法…所得税法，法法…法人税法，消法…消費税法， 措法…租税特別措置法，地法…地方税法，</t>
    <phoneticPr fontId="1"/>
  </si>
  <si>
    <t>災免法…災害被災者に対する租税の減免,徴収猶予等に関する法律，災免令…同法施行令，</t>
    <phoneticPr fontId="1"/>
  </si>
  <si>
    <t>震災法…阪神・淡路大震災の被災者等に係る国税関係法律の臨時特例に関する法律</t>
    <phoneticPr fontId="1"/>
  </si>
  <si>
    <t>イ　阪神・淡路大震災に係る税制特例措置等の措置経過</t>
    <rPh sb="2" eb="4">
      <t>ハンシン</t>
    </rPh>
    <rPh sb="5" eb="7">
      <t>アワジ</t>
    </rPh>
    <rPh sb="7" eb="10">
      <t>ダイシンサイ</t>
    </rPh>
    <rPh sb="11" eb="12">
      <t>カカワ</t>
    </rPh>
    <rPh sb="13" eb="15">
      <t>ゼイセイ</t>
    </rPh>
    <rPh sb="15" eb="17">
      <t>トクレイ</t>
    </rPh>
    <rPh sb="17" eb="19">
      <t>ソチ</t>
    </rPh>
    <rPh sb="19" eb="20">
      <t>トウ</t>
    </rPh>
    <rPh sb="21" eb="23">
      <t>ソチ</t>
    </rPh>
    <rPh sb="23" eb="25">
      <t>ケイカ</t>
    </rPh>
    <phoneticPr fontId="1"/>
  </si>
  <si>
    <t>日付</t>
    <rPh sb="0" eb="2">
      <t>ヒヅケ</t>
    </rPh>
    <phoneticPr fontId="21"/>
  </si>
  <si>
    <t>法令等の名称</t>
    <rPh sb="0" eb="2">
      <t>ホウレイ</t>
    </rPh>
    <rPh sb="2" eb="3">
      <t>トウ</t>
    </rPh>
    <rPh sb="4" eb="6">
      <t>メイショウ</t>
    </rPh>
    <phoneticPr fontId="21"/>
  </si>
  <si>
    <t>措置事項</t>
    <rPh sb="0" eb="2">
      <t>ソチ</t>
    </rPh>
    <rPh sb="2" eb="4">
      <t>ジコウ</t>
    </rPh>
    <phoneticPr fontId="21"/>
  </si>
  <si>
    <t>国税関係その他</t>
    <rPh sb="0" eb="2">
      <t>コクゼイ</t>
    </rPh>
    <rPh sb="2" eb="4">
      <t>カンケイ</t>
    </rPh>
    <rPh sb="6" eb="7">
      <t>タ</t>
    </rPh>
    <phoneticPr fontId="21"/>
  </si>
  <si>
    <t>地方税関係</t>
    <rPh sb="0" eb="3">
      <t>チホウゼイ</t>
    </rPh>
    <rPh sb="3" eb="5">
      <t>カンケイ</t>
    </rPh>
    <phoneticPr fontId="21"/>
  </si>
  <si>
    <t xml:space="preserve"> 7. 1.25</t>
    <phoneticPr fontId="21"/>
  </si>
  <si>
    <t>国税通則法施行令第3条第1項（災害等による期限の延長）の規定に基づき，申告等の期限の延長となる地域を定める件（国税庁告示第1号）</t>
    <rPh sb="0" eb="2">
      <t>コクゼイ</t>
    </rPh>
    <rPh sb="2" eb="4">
      <t>ツウソク</t>
    </rPh>
    <rPh sb="4" eb="5">
      <t>ホウ</t>
    </rPh>
    <rPh sb="5" eb="7">
      <t>セコウ</t>
    </rPh>
    <rPh sb="7" eb="8">
      <t>レイ</t>
    </rPh>
    <rPh sb="8" eb="9">
      <t>ダイ</t>
    </rPh>
    <rPh sb="10" eb="11">
      <t>ジョウ</t>
    </rPh>
    <rPh sb="11" eb="12">
      <t>ダイ</t>
    </rPh>
    <rPh sb="13" eb="14">
      <t>コウ</t>
    </rPh>
    <rPh sb="15" eb="17">
      <t>サイガイ</t>
    </rPh>
    <rPh sb="17" eb="18">
      <t>トウ</t>
    </rPh>
    <rPh sb="21" eb="23">
      <t>キゲン</t>
    </rPh>
    <rPh sb="24" eb="26">
      <t>エンチョウ</t>
    </rPh>
    <rPh sb="28" eb="30">
      <t>キテイ</t>
    </rPh>
    <rPh sb="31" eb="32">
      <t>モト</t>
    </rPh>
    <rPh sb="35" eb="37">
      <t>シンコク</t>
    </rPh>
    <rPh sb="37" eb="38">
      <t>トウ</t>
    </rPh>
    <rPh sb="39" eb="41">
      <t>キゲン</t>
    </rPh>
    <rPh sb="42" eb="44">
      <t>エンチョウ</t>
    </rPh>
    <rPh sb="47" eb="49">
      <t>チイキ</t>
    </rPh>
    <rPh sb="50" eb="51">
      <t>サダ</t>
    </rPh>
    <rPh sb="53" eb="54">
      <t>ケン</t>
    </rPh>
    <rPh sb="55" eb="57">
      <t>コクゼイ</t>
    </rPh>
    <rPh sb="57" eb="58">
      <t>チョウ</t>
    </rPh>
    <rPh sb="58" eb="60">
      <t>コクジ</t>
    </rPh>
    <rPh sb="60" eb="61">
      <t>ダイ</t>
    </rPh>
    <rPh sb="62" eb="63">
      <t>ゴウ</t>
    </rPh>
    <phoneticPr fontId="21"/>
  </si>
  <si>
    <t>期限が平7.1.17以降に到来するものについては，別途告示（平7.3.15）で定める期日（平7.5.31）まで延長する。</t>
    <rPh sb="0" eb="2">
      <t>キゲン</t>
    </rPh>
    <rPh sb="3" eb="4">
      <t>ヘイ</t>
    </rPh>
    <rPh sb="10" eb="12">
      <t>イコウ</t>
    </rPh>
    <rPh sb="13" eb="15">
      <t>トウライ</t>
    </rPh>
    <rPh sb="25" eb="27">
      <t>ベット</t>
    </rPh>
    <rPh sb="27" eb="29">
      <t>コクジ</t>
    </rPh>
    <rPh sb="30" eb="31">
      <t>ヒラ</t>
    </rPh>
    <rPh sb="39" eb="40">
      <t>サダ</t>
    </rPh>
    <rPh sb="42" eb="44">
      <t>キジツ</t>
    </rPh>
    <rPh sb="45" eb="46">
      <t>ヒラ</t>
    </rPh>
    <rPh sb="55" eb="57">
      <t>エンチョウ</t>
    </rPh>
    <phoneticPr fontId="21"/>
  </si>
  <si>
    <t>①－ 1</t>
    <phoneticPr fontId="21"/>
  </si>
  <si>
    <t>〃</t>
    <phoneticPr fontId="21"/>
  </si>
  <si>
    <t>平成7年1月17日発生の平成7年（1995年）兵庫県南部地震による被災納税者に対する減免措置等について（自治税企第1号。自治省税務局長）【通達】</t>
    <rPh sb="0" eb="2">
      <t>ヘイセイ</t>
    </rPh>
    <rPh sb="3" eb="4">
      <t>ネン</t>
    </rPh>
    <rPh sb="5" eb="6">
      <t>ガツ</t>
    </rPh>
    <rPh sb="8" eb="9">
      <t>ニチ</t>
    </rPh>
    <rPh sb="9" eb="11">
      <t>ハッセイ</t>
    </rPh>
    <rPh sb="12" eb="14">
      <t>ヘイセイ</t>
    </rPh>
    <rPh sb="15" eb="16">
      <t>ネン</t>
    </rPh>
    <rPh sb="21" eb="22">
      <t>ネン</t>
    </rPh>
    <rPh sb="23" eb="26">
      <t>ヒョウゴケン</t>
    </rPh>
    <rPh sb="26" eb="28">
      <t>ナンブ</t>
    </rPh>
    <rPh sb="28" eb="30">
      <t>ジシン</t>
    </rPh>
    <rPh sb="33" eb="35">
      <t>ヒサイ</t>
    </rPh>
    <rPh sb="35" eb="37">
      <t>ノウゼイ</t>
    </rPh>
    <rPh sb="37" eb="38">
      <t>シャ</t>
    </rPh>
    <rPh sb="39" eb="40">
      <t>タイ</t>
    </rPh>
    <rPh sb="42" eb="44">
      <t>ゲンメン</t>
    </rPh>
    <rPh sb="44" eb="46">
      <t>ソチ</t>
    </rPh>
    <rPh sb="46" eb="47">
      <t>トウ</t>
    </rPh>
    <rPh sb="52" eb="54">
      <t>ジチ</t>
    </rPh>
    <rPh sb="54" eb="55">
      <t>ゼイ</t>
    </rPh>
    <rPh sb="55" eb="56">
      <t>クワダ</t>
    </rPh>
    <rPh sb="56" eb="57">
      <t>ダイ</t>
    </rPh>
    <rPh sb="58" eb="59">
      <t>ゴウ</t>
    </rPh>
    <rPh sb="60" eb="63">
      <t>ジチショウ</t>
    </rPh>
    <rPh sb="63" eb="65">
      <t>ゼイム</t>
    </rPh>
    <rPh sb="65" eb="67">
      <t>キョクチョウ</t>
    </rPh>
    <rPh sb="69" eb="71">
      <t>ツウタツ</t>
    </rPh>
    <phoneticPr fontId="21"/>
  </si>
  <si>
    <t>「災害被災者に対する地方税の減免措置等について（昭39.11.7自治府第119号）」による期限の延長，徴収猶予及び減免の措置について，適切な運営を期するよう通知。</t>
    <rPh sb="1" eb="3">
      <t>サイガイ</t>
    </rPh>
    <rPh sb="3" eb="6">
      <t>ヒサイシャ</t>
    </rPh>
    <rPh sb="7" eb="8">
      <t>タイ</t>
    </rPh>
    <rPh sb="10" eb="13">
      <t>チホウゼイ</t>
    </rPh>
    <rPh sb="14" eb="16">
      <t>ゲンメン</t>
    </rPh>
    <rPh sb="16" eb="18">
      <t>ソチ</t>
    </rPh>
    <rPh sb="18" eb="19">
      <t>トウ</t>
    </rPh>
    <rPh sb="24" eb="25">
      <t>ショウ</t>
    </rPh>
    <rPh sb="32" eb="34">
      <t>ジチ</t>
    </rPh>
    <rPh sb="34" eb="35">
      <t>フ</t>
    </rPh>
    <rPh sb="35" eb="36">
      <t>ダイ</t>
    </rPh>
    <rPh sb="39" eb="40">
      <t>ゴウ</t>
    </rPh>
    <rPh sb="45" eb="47">
      <t>キゲン</t>
    </rPh>
    <rPh sb="48" eb="50">
      <t>エンチョウ</t>
    </rPh>
    <rPh sb="51" eb="53">
      <t>チョウシュウ</t>
    </rPh>
    <rPh sb="53" eb="55">
      <t>ユウヨ</t>
    </rPh>
    <rPh sb="55" eb="56">
      <t>オヨ</t>
    </rPh>
    <rPh sb="57" eb="59">
      <t>ゲンメン</t>
    </rPh>
    <rPh sb="60" eb="62">
      <t>ソチ</t>
    </rPh>
    <rPh sb="67" eb="69">
      <t>テキセツ</t>
    </rPh>
    <rPh sb="70" eb="72">
      <t>ウンエイ</t>
    </rPh>
    <rPh sb="73" eb="74">
      <t>キ</t>
    </rPh>
    <rPh sb="78" eb="80">
      <t>ツウチ</t>
    </rPh>
    <phoneticPr fontId="21"/>
  </si>
  <si>
    <t>③－ 1
④－ 1</t>
    <phoneticPr fontId="21"/>
  </si>
  <si>
    <t xml:space="preserve"> 7. 1.31</t>
    <phoneticPr fontId="21"/>
  </si>
  <si>
    <t>個人住民税に係る寄附金控除に関する質疑応答について（災害義えん金関係）（住民税係長事務連絡）</t>
    <rPh sb="0" eb="2">
      <t>コジン</t>
    </rPh>
    <rPh sb="2" eb="5">
      <t>ジュウミンゼイ</t>
    </rPh>
    <rPh sb="6" eb="7">
      <t>カカ</t>
    </rPh>
    <rPh sb="8" eb="11">
      <t>キフキン</t>
    </rPh>
    <rPh sb="11" eb="13">
      <t>コウジョ</t>
    </rPh>
    <rPh sb="14" eb="15">
      <t>カン</t>
    </rPh>
    <rPh sb="17" eb="19">
      <t>シツギ</t>
    </rPh>
    <rPh sb="19" eb="21">
      <t>オウトウ</t>
    </rPh>
    <rPh sb="26" eb="28">
      <t>サイガイ</t>
    </rPh>
    <rPh sb="28" eb="29">
      <t>ギ</t>
    </rPh>
    <rPh sb="31" eb="32">
      <t>キン</t>
    </rPh>
    <rPh sb="32" eb="34">
      <t>カンケイ</t>
    </rPh>
    <rPh sb="36" eb="39">
      <t>ジュウミンゼイ</t>
    </rPh>
    <rPh sb="39" eb="41">
      <t>カカリチョウ</t>
    </rPh>
    <rPh sb="41" eb="43">
      <t>ジム</t>
    </rPh>
    <rPh sb="43" eb="45">
      <t>レンラク</t>
    </rPh>
    <phoneticPr fontId="21"/>
  </si>
  <si>
    <t>災害義えん金等に係る個人住民税の寄附金控除制度の適用等に係る取扱いの詳細を連絡。</t>
    <rPh sb="0" eb="2">
      <t>サイガイ</t>
    </rPh>
    <rPh sb="2" eb="3">
      <t>ギ</t>
    </rPh>
    <rPh sb="5" eb="6">
      <t>キン</t>
    </rPh>
    <rPh sb="6" eb="7">
      <t>トウ</t>
    </rPh>
    <rPh sb="8" eb="9">
      <t>カカ</t>
    </rPh>
    <rPh sb="10" eb="12">
      <t>コジン</t>
    </rPh>
    <rPh sb="12" eb="15">
      <t>ジュウミンゼイ</t>
    </rPh>
    <rPh sb="16" eb="19">
      <t>キフキン</t>
    </rPh>
    <rPh sb="19" eb="21">
      <t>コウジョ</t>
    </rPh>
    <rPh sb="21" eb="23">
      <t>セイド</t>
    </rPh>
    <rPh sb="24" eb="26">
      <t>テキヨウ</t>
    </rPh>
    <rPh sb="26" eb="27">
      <t>トウ</t>
    </rPh>
    <rPh sb="28" eb="29">
      <t>カカ</t>
    </rPh>
    <rPh sb="30" eb="32">
      <t>トリアツカ</t>
    </rPh>
    <rPh sb="34" eb="36">
      <t>ショウサイ</t>
    </rPh>
    <rPh sb="37" eb="39">
      <t>レンラク</t>
    </rPh>
    <phoneticPr fontId="21"/>
  </si>
  <si>
    <t xml:space="preserve"> 7. 2. 8</t>
    <phoneticPr fontId="21"/>
  </si>
  <si>
    <t>兵庫県南部地震災害の被災者等に係る所得税等の緊急対応について（自由民主党・日本社会党・新党さきがけ）</t>
    <rPh sb="0" eb="3">
      <t>ヒョウゴケン</t>
    </rPh>
    <rPh sb="3" eb="5">
      <t>ナンブ</t>
    </rPh>
    <rPh sb="5" eb="7">
      <t>ジシン</t>
    </rPh>
    <rPh sb="7" eb="9">
      <t>サイガイ</t>
    </rPh>
    <rPh sb="10" eb="13">
      <t>ヒサイシャ</t>
    </rPh>
    <rPh sb="13" eb="14">
      <t>トウ</t>
    </rPh>
    <rPh sb="15" eb="16">
      <t>カカ</t>
    </rPh>
    <rPh sb="17" eb="20">
      <t>ショトクゼイ</t>
    </rPh>
    <rPh sb="20" eb="21">
      <t>トウ</t>
    </rPh>
    <rPh sb="22" eb="24">
      <t>キンキュウ</t>
    </rPh>
    <rPh sb="24" eb="26">
      <t>タイオウ</t>
    </rPh>
    <rPh sb="31" eb="33">
      <t>ジユウ</t>
    </rPh>
    <rPh sb="33" eb="36">
      <t>ミンシュトウ</t>
    </rPh>
    <rPh sb="37" eb="39">
      <t>ニホン</t>
    </rPh>
    <rPh sb="39" eb="42">
      <t>シャカイトウ</t>
    </rPh>
    <rPh sb="43" eb="45">
      <t>シントウ</t>
    </rPh>
    <phoneticPr fontId="21"/>
  </si>
  <si>
    <t>兵庫県南部地震災害の被災者等に係る個人住民税当の緊急対応について（自由民主党・日本社会党・新党さきがけ）
　〃　（自治省）</t>
    <rPh sb="0" eb="3">
      <t>ヒョウゴケン</t>
    </rPh>
    <rPh sb="3" eb="5">
      <t>ナンブ</t>
    </rPh>
    <rPh sb="5" eb="7">
      <t>ジシン</t>
    </rPh>
    <rPh sb="7" eb="9">
      <t>サイガイ</t>
    </rPh>
    <rPh sb="10" eb="12">
      <t>ヒサイ</t>
    </rPh>
    <rPh sb="12" eb="13">
      <t>シャ</t>
    </rPh>
    <rPh sb="13" eb="14">
      <t>トウ</t>
    </rPh>
    <rPh sb="15" eb="16">
      <t>カカ</t>
    </rPh>
    <rPh sb="17" eb="19">
      <t>コジン</t>
    </rPh>
    <rPh sb="19" eb="22">
      <t>ジュウミンゼイ</t>
    </rPh>
    <rPh sb="22" eb="23">
      <t>トウ</t>
    </rPh>
    <rPh sb="24" eb="26">
      <t>キンキュウ</t>
    </rPh>
    <rPh sb="26" eb="28">
      <t>タイオウ</t>
    </rPh>
    <rPh sb="33" eb="35">
      <t>ジユウ</t>
    </rPh>
    <rPh sb="35" eb="38">
      <t>ミンシュトウ</t>
    </rPh>
    <rPh sb="39" eb="41">
      <t>ニホン</t>
    </rPh>
    <rPh sb="41" eb="44">
      <t>シャカイトウ</t>
    </rPh>
    <rPh sb="45" eb="47">
      <t>シントウ</t>
    </rPh>
    <rPh sb="57" eb="60">
      <t>ジチショウ</t>
    </rPh>
    <phoneticPr fontId="21"/>
  </si>
  <si>
    <t xml:space="preserve"> 7. 2.14</t>
    <phoneticPr fontId="21"/>
  </si>
  <si>
    <t>政府，閣議口頭了承にて一般呼称を「阪神・淡路大震災」と決定</t>
    <rPh sb="0" eb="2">
      <t>セイフ</t>
    </rPh>
    <rPh sb="3" eb="5">
      <t>カクギ</t>
    </rPh>
    <rPh sb="5" eb="7">
      <t>コウトウ</t>
    </rPh>
    <rPh sb="7" eb="9">
      <t>リョウショウ</t>
    </rPh>
    <rPh sb="11" eb="13">
      <t>イッパン</t>
    </rPh>
    <rPh sb="13" eb="15">
      <t>コショウ</t>
    </rPh>
    <rPh sb="17" eb="19">
      <t>ハンシン</t>
    </rPh>
    <rPh sb="20" eb="22">
      <t>アワジ</t>
    </rPh>
    <rPh sb="22" eb="25">
      <t>ダイシンサイ</t>
    </rPh>
    <rPh sb="27" eb="29">
      <t>ケッテイ</t>
    </rPh>
    <phoneticPr fontId="21"/>
  </si>
  <si>
    <t>地震の名称は「兵庫県南部地震」（気象庁）</t>
    <rPh sb="0" eb="2">
      <t>ジシン</t>
    </rPh>
    <rPh sb="3" eb="5">
      <t>メイショウ</t>
    </rPh>
    <rPh sb="7" eb="10">
      <t>ヒョウゴケン</t>
    </rPh>
    <rPh sb="10" eb="12">
      <t>ナンブ</t>
    </rPh>
    <rPh sb="12" eb="14">
      <t>ジシン</t>
    </rPh>
    <rPh sb="16" eb="19">
      <t>キショウチョウ</t>
    </rPh>
    <phoneticPr fontId="21"/>
  </si>
  <si>
    <t>阪神・淡路大震災に関する取扱いについて（国税庁発表）</t>
    <rPh sb="0" eb="2">
      <t>ハンシン</t>
    </rPh>
    <rPh sb="3" eb="5">
      <t>アワジ</t>
    </rPh>
    <rPh sb="5" eb="8">
      <t>ダイシンサイ</t>
    </rPh>
    <rPh sb="9" eb="10">
      <t>カン</t>
    </rPh>
    <rPh sb="12" eb="14">
      <t>トリアツカ</t>
    </rPh>
    <rPh sb="20" eb="22">
      <t>コクゼイ</t>
    </rPh>
    <rPh sb="22" eb="23">
      <t>チョウ</t>
    </rPh>
    <rPh sb="23" eb="25">
      <t>ハッピョウ</t>
    </rPh>
    <phoneticPr fontId="21"/>
  </si>
  <si>
    <t>税務執行面での取扱いを国税庁が発表。</t>
    <rPh sb="0" eb="2">
      <t>ゼイム</t>
    </rPh>
    <rPh sb="2" eb="4">
      <t>シッコウ</t>
    </rPh>
    <rPh sb="4" eb="5">
      <t>メン</t>
    </rPh>
    <rPh sb="7" eb="9">
      <t>トリアツカ</t>
    </rPh>
    <rPh sb="11" eb="13">
      <t>コクゼイ</t>
    </rPh>
    <rPh sb="13" eb="14">
      <t>チョウ</t>
    </rPh>
    <rPh sb="15" eb="17">
      <t>ハッピョウ</t>
    </rPh>
    <phoneticPr fontId="21"/>
  </si>
  <si>
    <t xml:space="preserve">②　 </t>
    <phoneticPr fontId="21"/>
  </si>
  <si>
    <t xml:space="preserve"> 7. 2.17</t>
    <phoneticPr fontId="21"/>
  </si>
  <si>
    <t>阪神・淡路大震災による損害額の簡易計算の概要について（国税庁発表）</t>
    <rPh sb="0" eb="2">
      <t>ハンシン</t>
    </rPh>
    <rPh sb="3" eb="5">
      <t>アワジ</t>
    </rPh>
    <rPh sb="5" eb="8">
      <t>ダイシンサイ</t>
    </rPh>
    <rPh sb="11" eb="13">
      <t>ソンガイ</t>
    </rPh>
    <rPh sb="13" eb="14">
      <t>ガク</t>
    </rPh>
    <rPh sb="15" eb="17">
      <t>カンイ</t>
    </rPh>
    <rPh sb="17" eb="19">
      <t>ケイサン</t>
    </rPh>
    <rPh sb="20" eb="22">
      <t>ガイヨウ</t>
    </rPh>
    <rPh sb="27" eb="29">
      <t>コクゼイ</t>
    </rPh>
    <rPh sb="29" eb="30">
      <t>チョウ</t>
    </rPh>
    <rPh sb="30" eb="32">
      <t>ハッピョウ</t>
    </rPh>
    <phoneticPr fontId="21"/>
  </si>
  <si>
    <t>大阪国税局において作成された雑損控除等の適用に当たっての損害額の簡易計算の概要を国税庁が発表。</t>
    <rPh sb="0" eb="2">
      <t>オオサカ</t>
    </rPh>
    <rPh sb="2" eb="5">
      <t>コクゼイキョク</t>
    </rPh>
    <rPh sb="9" eb="11">
      <t>サクセイ</t>
    </rPh>
    <rPh sb="14" eb="16">
      <t>ザッソン</t>
    </rPh>
    <rPh sb="16" eb="18">
      <t>コウジョ</t>
    </rPh>
    <rPh sb="18" eb="19">
      <t>トウ</t>
    </rPh>
    <rPh sb="20" eb="22">
      <t>テキヨウ</t>
    </rPh>
    <rPh sb="23" eb="24">
      <t>アタ</t>
    </rPh>
    <rPh sb="28" eb="30">
      <t>ソンガイ</t>
    </rPh>
    <rPh sb="30" eb="31">
      <t>ガク</t>
    </rPh>
    <rPh sb="32" eb="34">
      <t>カンイ</t>
    </rPh>
    <rPh sb="34" eb="36">
      <t>ケイサン</t>
    </rPh>
    <rPh sb="37" eb="39">
      <t>ガイヨウ</t>
    </rPh>
    <rPh sb="40" eb="42">
      <t>コクゼイ</t>
    </rPh>
    <rPh sb="42" eb="43">
      <t>チョウ</t>
    </rPh>
    <rPh sb="44" eb="46">
      <t>ハッピョウ</t>
    </rPh>
    <phoneticPr fontId="21"/>
  </si>
  <si>
    <t>②－1</t>
    <phoneticPr fontId="21"/>
  </si>
  <si>
    <t xml:space="preserve"> 7. 2.20</t>
    <phoneticPr fontId="21"/>
  </si>
  <si>
    <t>災害被害者に関する租税の減免，徴収猶予等に関する法律の一部改正（法律第10号）</t>
    <rPh sb="0" eb="2">
      <t>サイガイ</t>
    </rPh>
    <rPh sb="2" eb="5">
      <t>ヒガイシャ</t>
    </rPh>
    <rPh sb="6" eb="7">
      <t>カン</t>
    </rPh>
    <rPh sb="9" eb="11">
      <t>ソゼイ</t>
    </rPh>
    <rPh sb="12" eb="14">
      <t>ゲンメン</t>
    </rPh>
    <rPh sb="15" eb="17">
      <t>チョウシュウ</t>
    </rPh>
    <rPh sb="17" eb="19">
      <t>ユウヨ</t>
    </rPh>
    <rPh sb="19" eb="20">
      <t>トウ</t>
    </rPh>
    <rPh sb="21" eb="22">
      <t>カン</t>
    </rPh>
    <rPh sb="24" eb="26">
      <t>ホウリツ</t>
    </rPh>
    <rPh sb="27" eb="29">
      <t>イチブ</t>
    </rPh>
    <rPh sb="29" eb="31">
      <t>カイセイ</t>
    </rPh>
    <rPh sb="32" eb="34">
      <t>ホウリツ</t>
    </rPh>
    <rPh sb="34" eb="35">
      <t>ダイ</t>
    </rPh>
    <rPh sb="37" eb="38">
      <t>ゴウ</t>
    </rPh>
    <phoneticPr fontId="21"/>
  </si>
  <si>
    <t>所得税の軽減免除又は徴収猶予等の適用対象となる者の所得限度額の引き上げ（改正前 600万円　⇒　1,000万円）。</t>
    <rPh sb="0" eb="3">
      <t>ショトクゼイ</t>
    </rPh>
    <rPh sb="4" eb="6">
      <t>ケイゲン</t>
    </rPh>
    <rPh sb="6" eb="8">
      <t>メンジョ</t>
    </rPh>
    <rPh sb="8" eb="9">
      <t>マタ</t>
    </rPh>
    <rPh sb="10" eb="12">
      <t>チョウシュウ</t>
    </rPh>
    <rPh sb="12" eb="14">
      <t>ユウヨ</t>
    </rPh>
    <rPh sb="14" eb="15">
      <t>トウ</t>
    </rPh>
    <rPh sb="16" eb="18">
      <t>テキヨウ</t>
    </rPh>
    <rPh sb="18" eb="20">
      <t>タイショウ</t>
    </rPh>
    <rPh sb="23" eb="24">
      <t>モノ</t>
    </rPh>
    <rPh sb="25" eb="27">
      <t>ショトク</t>
    </rPh>
    <rPh sb="27" eb="29">
      <t>ゲンド</t>
    </rPh>
    <rPh sb="29" eb="30">
      <t>ガク</t>
    </rPh>
    <rPh sb="31" eb="32">
      <t>ヒ</t>
    </rPh>
    <rPh sb="33" eb="34">
      <t>ア</t>
    </rPh>
    <rPh sb="36" eb="38">
      <t>カイセイ</t>
    </rPh>
    <rPh sb="38" eb="39">
      <t>マエ</t>
    </rPh>
    <rPh sb="43" eb="45">
      <t>マンエン</t>
    </rPh>
    <rPh sb="53" eb="55">
      <t>マンエン</t>
    </rPh>
    <phoneticPr fontId="21"/>
  </si>
  <si>
    <t>①－3</t>
    <phoneticPr fontId="21"/>
  </si>
  <si>
    <t>災害被害者に対する租税の減免，徴収猶予等に関する法律の施行に関する政令の一部改正（政令第28号）</t>
    <rPh sb="0" eb="2">
      <t>サイガイ</t>
    </rPh>
    <rPh sb="2" eb="5">
      <t>ヒガイシャ</t>
    </rPh>
    <rPh sb="6" eb="7">
      <t>タイ</t>
    </rPh>
    <rPh sb="9" eb="11">
      <t>ソゼイ</t>
    </rPh>
    <rPh sb="12" eb="14">
      <t>ゲンメン</t>
    </rPh>
    <rPh sb="15" eb="17">
      <t>チョウシュウ</t>
    </rPh>
    <rPh sb="17" eb="19">
      <t>ユウヨ</t>
    </rPh>
    <rPh sb="19" eb="20">
      <t>トウ</t>
    </rPh>
    <rPh sb="21" eb="22">
      <t>カン</t>
    </rPh>
    <rPh sb="24" eb="26">
      <t>ホウリツ</t>
    </rPh>
    <rPh sb="27" eb="29">
      <t>セコウ</t>
    </rPh>
    <rPh sb="30" eb="31">
      <t>カン</t>
    </rPh>
    <rPh sb="33" eb="35">
      <t>セイレイ</t>
    </rPh>
    <rPh sb="36" eb="38">
      <t>イチブ</t>
    </rPh>
    <rPh sb="38" eb="40">
      <t>カイセイ</t>
    </rPh>
    <rPh sb="41" eb="43">
      <t>セイレイ</t>
    </rPh>
    <rPh sb="43" eb="44">
      <t>ダイ</t>
    </rPh>
    <rPh sb="46" eb="47">
      <t>ゴウ</t>
    </rPh>
    <phoneticPr fontId="21"/>
  </si>
  <si>
    <t>上記法律の改正に伴い，給与等，公的年金等又は報酬等に対する源泉所得税の徴収猶予又は還付を受けることができる所得税限度額をそれぞれ引き上げた。</t>
    <rPh sb="0" eb="2">
      <t>ジョウキ</t>
    </rPh>
    <rPh sb="2" eb="4">
      <t>ホウリツ</t>
    </rPh>
    <rPh sb="5" eb="7">
      <t>カイセイ</t>
    </rPh>
    <rPh sb="8" eb="9">
      <t>トモナ</t>
    </rPh>
    <rPh sb="11" eb="13">
      <t>キュウヨ</t>
    </rPh>
    <rPh sb="13" eb="14">
      <t>トウ</t>
    </rPh>
    <rPh sb="15" eb="17">
      <t>コウテキ</t>
    </rPh>
    <rPh sb="17" eb="19">
      <t>ネンキン</t>
    </rPh>
    <rPh sb="19" eb="20">
      <t>トウ</t>
    </rPh>
    <rPh sb="20" eb="21">
      <t>マタ</t>
    </rPh>
    <rPh sb="22" eb="24">
      <t>ホウシュウ</t>
    </rPh>
    <rPh sb="24" eb="25">
      <t>トウ</t>
    </rPh>
    <rPh sb="26" eb="27">
      <t>タイ</t>
    </rPh>
    <rPh sb="29" eb="31">
      <t>ゲンセン</t>
    </rPh>
    <rPh sb="31" eb="34">
      <t>ショトクゼイ</t>
    </rPh>
    <rPh sb="35" eb="37">
      <t>チョウシュウ</t>
    </rPh>
    <rPh sb="37" eb="39">
      <t>ユウヨ</t>
    </rPh>
    <rPh sb="39" eb="40">
      <t>マタ</t>
    </rPh>
    <rPh sb="41" eb="43">
      <t>カンプ</t>
    </rPh>
    <rPh sb="44" eb="45">
      <t>ウ</t>
    </rPh>
    <rPh sb="53" eb="56">
      <t>ショトクゼイ</t>
    </rPh>
    <rPh sb="56" eb="58">
      <t>ゲンド</t>
    </rPh>
    <rPh sb="58" eb="59">
      <t>ガク</t>
    </rPh>
    <rPh sb="64" eb="65">
      <t>ヒ</t>
    </rPh>
    <rPh sb="66" eb="67">
      <t>ア</t>
    </rPh>
    <phoneticPr fontId="21"/>
  </si>
  <si>
    <t>阪神・淡路大震災の被災者等に係る国税関係法律の臨時特例に関する法律（法律第11号）</t>
    <rPh sb="0" eb="2">
      <t>ハンシン</t>
    </rPh>
    <rPh sb="3" eb="5">
      <t>アワジ</t>
    </rPh>
    <rPh sb="5" eb="8">
      <t>ダイシンサイ</t>
    </rPh>
    <rPh sb="9" eb="12">
      <t>ヒサイシャ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4" eb="36">
      <t>ホウリツ</t>
    </rPh>
    <rPh sb="36" eb="37">
      <t>ダイ</t>
    </rPh>
    <rPh sb="39" eb="40">
      <t>ゴウ</t>
    </rPh>
    <phoneticPr fontId="21"/>
  </si>
  <si>
    <t>①－ 2</t>
    <phoneticPr fontId="21"/>
  </si>
  <si>
    <t>阪神・淡路大震災の被災者等に係る国税関係法律の臨時特例に関する法律第8号第1項の規定に基づき，阪神・淡路大震災により相当な損害を受けた地域を指定する件（大蔵省告示第29号）</t>
    <rPh sb="0" eb="2">
      <t>ハンシン</t>
    </rPh>
    <rPh sb="3" eb="5">
      <t>アワジ</t>
    </rPh>
    <rPh sb="5" eb="8">
      <t>ダイシンサイ</t>
    </rPh>
    <rPh sb="9" eb="12">
      <t>ヒサイシャ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3" eb="34">
      <t>ダイ</t>
    </rPh>
    <rPh sb="35" eb="36">
      <t>ゴウ</t>
    </rPh>
    <rPh sb="36" eb="37">
      <t>ダイ</t>
    </rPh>
    <rPh sb="38" eb="39">
      <t>コウ</t>
    </rPh>
    <rPh sb="40" eb="42">
      <t>キテイ</t>
    </rPh>
    <rPh sb="43" eb="44">
      <t>モト</t>
    </rPh>
    <rPh sb="47" eb="49">
      <t>ハンシン</t>
    </rPh>
    <rPh sb="50" eb="52">
      <t>アワジ</t>
    </rPh>
    <rPh sb="52" eb="55">
      <t>ダイシンサイ</t>
    </rPh>
    <rPh sb="58" eb="60">
      <t>ソウトウ</t>
    </rPh>
    <rPh sb="61" eb="63">
      <t>ソンガイ</t>
    </rPh>
    <rPh sb="64" eb="65">
      <t>ウ</t>
    </rPh>
    <rPh sb="67" eb="69">
      <t>チイキ</t>
    </rPh>
    <rPh sb="70" eb="72">
      <t>シテイ</t>
    </rPh>
    <rPh sb="74" eb="75">
      <t>ケン</t>
    </rPh>
    <rPh sb="76" eb="79">
      <t>オオクラショウ</t>
    </rPh>
    <rPh sb="79" eb="81">
      <t>コクジ</t>
    </rPh>
    <rPh sb="81" eb="82">
      <t>ダイ</t>
    </rPh>
    <rPh sb="82" eb="85">
      <t>ニ９ゴウ</t>
    </rPh>
    <phoneticPr fontId="21"/>
  </si>
  <si>
    <t>上記法律の制定に伴い，関税に係る納期限の延長について地域を指定。</t>
    <rPh sb="0" eb="2">
      <t>ジョウキ</t>
    </rPh>
    <rPh sb="2" eb="4">
      <t>ホウリツ</t>
    </rPh>
    <rPh sb="5" eb="7">
      <t>セイテイ</t>
    </rPh>
    <rPh sb="8" eb="9">
      <t>トモナ</t>
    </rPh>
    <rPh sb="11" eb="13">
      <t>カンゼイ</t>
    </rPh>
    <rPh sb="14" eb="15">
      <t>カカ</t>
    </rPh>
    <rPh sb="16" eb="19">
      <t>ノウキゲン</t>
    </rPh>
    <rPh sb="20" eb="22">
      <t>エンチョウ</t>
    </rPh>
    <rPh sb="26" eb="28">
      <t>チイキ</t>
    </rPh>
    <rPh sb="29" eb="31">
      <t>シテイ</t>
    </rPh>
    <phoneticPr fontId="21"/>
  </si>
  <si>
    <t>地方税法の一部改正（法律第9号）</t>
    <rPh sb="0" eb="3">
      <t>チホウゼイ</t>
    </rPh>
    <rPh sb="3" eb="4">
      <t>ホウ</t>
    </rPh>
    <rPh sb="5" eb="7">
      <t>イチブ</t>
    </rPh>
    <rPh sb="7" eb="9">
      <t>カイセイ</t>
    </rPh>
    <rPh sb="10" eb="12">
      <t>ホウリツ</t>
    </rPh>
    <rPh sb="12" eb="13">
      <t>ダイ</t>
    </rPh>
    <rPh sb="14" eb="15">
      <t>ゴウ</t>
    </rPh>
    <phoneticPr fontId="21"/>
  </si>
  <si>
    <t>住民税における雑損控除・被災事業用資産等の損失額の必要経費算入の特例</t>
    <rPh sb="0" eb="3">
      <t>ジュウミンゼイ</t>
    </rPh>
    <rPh sb="7" eb="9">
      <t>ザッソン</t>
    </rPh>
    <rPh sb="9" eb="11">
      <t>コウジョ</t>
    </rPh>
    <rPh sb="12" eb="14">
      <t>ヒサイ</t>
    </rPh>
    <rPh sb="14" eb="17">
      <t>ジギョウヨウ</t>
    </rPh>
    <rPh sb="17" eb="19">
      <t>シサン</t>
    </rPh>
    <rPh sb="19" eb="20">
      <t>トウ</t>
    </rPh>
    <rPh sb="21" eb="23">
      <t>ソンシツ</t>
    </rPh>
    <rPh sb="23" eb="24">
      <t>ガク</t>
    </rPh>
    <rPh sb="25" eb="27">
      <t>ヒツヨウ</t>
    </rPh>
    <rPh sb="27" eb="29">
      <t>ケイヒ</t>
    </rPh>
    <rPh sb="29" eb="31">
      <t>サンニュウ</t>
    </rPh>
    <rPh sb="32" eb="34">
      <t>トクレイ</t>
    </rPh>
    <phoneticPr fontId="21"/>
  </si>
  <si>
    <t>③－ 2</t>
    <phoneticPr fontId="21"/>
  </si>
  <si>
    <t>災害被害者に対する地方税の減免措置等について（昭和39年11月7日自治府第119号）の一部改正について（自治税企第3号。自治省事務次官）【通達】</t>
    <rPh sb="0" eb="2">
      <t>サイガイ</t>
    </rPh>
    <rPh sb="2" eb="5">
      <t>ヒガイシャ</t>
    </rPh>
    <rPh sb="6" eb="7">
      <t>タイ</t>
    </rPh>
    <rPh sb="9" eb="12">
      <t>チホウゼイ</t>
    </rPh>
    <rPh sb="13" eb="15">
      <t>ゲンメン</t>
    </rPh>
    <rPh sb="15" eb="17">
      <t>ソチ</t>
    </rPh>
    <rPh sb="17" eb="18">
      <t>トウ</t>
    </rPh>
    <rPh sb="23" eb="25">
      <t>ショウワ</t>
    </rPh>
    <rPh sb="27" eb="28">
      <t>ネン</t>
    </rPh>
    <rPh sb="30" eb="31">
      <t>ガツ</t>
    </rPh>
    <rPh sb="32" eb="33">
      <t>ニチ</t>
    </rPh>
    <rPh sb="33" eb="35">
      <t>ジチ</t>
    </rPh>
    <rPh sb="35" eb="36">
      <t>フ</t>
    </rPh>
    <rPh sb="36" eb="37">
      <t>ダイ</t>
    </rPh>
    <rPh sb="40" eb="41">
      <t>ゴウ</t>
    </rPh>
    <rPh sb="43" eb="45">
      <t>イチブ</t>
    </rPh>
    <rPh sb="45" eb="47">
      <t>カイセイ</t>
    </rPh>
    <rPh sb="52" eb="54">
      <t>ジチ</t>
    </rPh>
    <rPh sb="54" eb="55">
      <t>ゼイ</t>
    </rPh>
    <rPh sb="55" eb="56">
      <t>クワダ</t>
    </rPh>
    <rPh sb="56" eb="57">
      <t>ダイ</t>
    </rPh>
    <rPh sb="58" eb="59">
      <t>ゴウ</t>
    </rPh>
    <rPh sb="60" eb="63">
      <t>ジチショウ</t>
    </rPh>
    <rPh sb="63" eb="65">
      <t>ジム</t>
    </rPh>
    <rPh sb="65" eb="67">
      <t>ジカン</t>
    </rPh>
    <rPh sb="69" eb="71">
      <t>ツウタツ</t>
    </rPh>
    <phoneticPr fontId="21"/>
  </si>
  <si>
    <t>個人住民税等の災害減免基準について適用対象となる者の所得限度額の引き上げ（改正前 600万円　⇒　1,000万円）</t>
    <rPh sb="0" eb="2">
      <t>コジン</t>
    </rPh>
    <rPh sb="2" eb="5">
      <t>ジュウミンゼイ</t>
    </rPh>
    <rPh sb="5" eb="6">
      <t>トウ</t>
    </rPh>
    <rPh sb="7" eb="9">
      <t>サイガイ</t>
    </rPh>
    <rPh sb="9" eb="11">
      <t>ゲンメン</t>
    </rPh>
    <rPh sb="11" eb="13">
      <t>キジュン</t>
    </rPh>
    <rPh sb="17" eb="19">
      <t>テキヨウ</t>
    </rPh>
    <rPh sb="19" eb="21">
      <t>タイショウ</t>
    </rPh>
    <rPh sb="24" eb="25">
      <t>モノ</t>
    </rPh>
    <rPh sb="26" eb="28">
      <t>ショトク</t>
    </rPh>
    <rPh sb="28" eb="30">
      <t>ゲンド</t>
    </rPh>
    <rPh sb="30" eb="31">
      <t>ガク</t>
    </rPh>
    <rPh sb="32" eb="33">
      <t>ヒ</t>
    </rPh>
    <rPh sb="34" eb="35">
      <t>ア</t>
    </rPh>
    <phoneticPr fontId="21"/>
  </si>
  <si>
    <t>③－ 4
④－ 3</t>
    <phoneticPr fontId="21"/>
  </si>
  <si>
    <t>ウの一覧との対応</t>
    <rPh sb="2" eb="4">
      <t>イチラン</t>
    </rPh>
    <rPh sb="6" eb="7">
      <t>タイ</t>
    </rPh>
    <rPh sb="7" eb="8">
      <t>オウ</t>
    </rPh>
    <phoneticPr fontId="21"/>
  </si>
  <si>
    <t>国税・地方税当局間の税務執務上の協力関係の推進（自治省企画課長内かん）</t>
    <rPh sb="0" eb="2">
      <t>コクゼイ</t>
    </rPh>
    <rPh sb="3" eb="6">
      <t>チホウゼイ</t>
    </rPh>
    <rPh sb="6" eb="8">
      <t>トウキョク</t>
    </rPh>
    <rPh sb="8" eb="9">
      <t>カン</t>
    </rPh>
    <rPh sb="10" eb="12">
      <t>ゼイム</t>
    </rPh>
    <rPh sb="12" eb="14">
      <t>シツム</t>
    </rPh>
    <rPh sb="14" eb="15">
      <t>ジョウ</t>
    </rPh>
    <rPh sb="16" eb="18">
      <t>キョウリョク</t>
    </rPh>
    <rPh sb="18" eb="20">
      <t>カンケイ</t>
    </rPh>
    <rPh sb="21" eb="23">
      <t>スイシン</t>
    </rPh>
    <rPh sb="24" eb="27">
      <t>ジチショウ</t>
    </rPh>
    <rPh sb="27" eb="29">
      <t>キカク</t>
    </rPh>
    <rPh sb="29" eb="31">
      <t>カチョウ</t>
    </rPh>
    <rPh sb="31" eb="32">
      <t>ナイ</t>
    </rPh>
    <phoneticPr fontId="21"/>
  </si>
  <si>
    <t>・国税，地方税間の一層の協力関係の推進
・税務広報の推進</t>
    <rPh sb="1" eb="3">
      <t>コクゼイ</t>
    </rPh>
    <rPh sb="4" eb="7">
      <t>チホウゼイ</t>
    </rPh>
    <rPh sb="7" eb="8">
      <t>カン</t>
    </rPh>
    <rPh sb="9" eb="11">
      <t>イッソウ</t>
    </rPh>
    <rPh sb="12" eb="14">
      <t>キョウリョク</t>
    </rPh>
    <rPh sb="14" eb="16">
      <t>カンケイ</t>
    </rPh>
    <rPh sb="17" eb="19">
      <t>スイシン</t>
    </rPh>
    <rPh sb="21" eb="23">
      <t>ゼイム</t>
    </rPh>
    <rPh sb="23" eb="25">
      <t>コウホウ</t>
    </rPh>
    <rPh sb="26" eb="28">
      <t>スイシン</t>
    </rPh>
    <phoneticPr fontId="21"/>
  </si>
  <si>
    <t xml:space="preserve"> 7. 2.21</t>
    <phoneticPr fontId="21"/>
  </si>
  <si>
    <t>阪神・淡路大震災に関する地方団体との税務行政運営上の協力について（大阪国税局総務部長宛国税庁長官官房総務課長通知）</t>
    <rPh sb="0" eb="2">
      <t>ハンシン</t>
    </rPh>
    <rPh sb="3" eb="5">
      <t>アワジ</t>
    </rPh>
    <rPh sb="5" eb="8">
      <t>ダイシンサイ</t>
    </rPh>
    <rPh sb="9" eb="10">
      <t>カン</t>
    </rPh>
    <rPh sb="12" eb="14">
      <t>チホウ</t>
    </rPh>
    <rPh sb="14" eb="16">
      <t>ダンタイ</t>
    </rPh>
    <rPh sb="18" eb="20">
      <t>ゼイム</t>
    </rPh>
    <rPh sb="20" eb="22">
      <t>ギョウセイ</t>
    </rPh>
    <rPh sb="22" eb="24">
      <t>ウンエイ</t>
    </rPh>
    <rPh sb="24" eb="25">
      <t>ジョウ</t>
    </rPh>
    <rPh sb="26" eb="28">
      <t>キョウリョク</t>
    </rPh>
    <rPh sb="33" eb="35">
      <t>オオサカ</t>
    </rPh>
    <rPh sb="35" eb="38">
      <t>コクゼイキョク</t>
    </rPh>
    <rPh sb="38" eb="40">
      <t>ソウム</t>
    </rPh>
    <rPh sb="40" eb="41">
      <t>ブ</t>
    </rPh>
    <rPh sb="41" eb="42">
      <t>チョウ</t>
    </rPh>
    <rPh sb="42" eb="43">
      <t>アテ</t>
    </rPh>
    <rPh sb="43" eb="45">
      <t>コクゼイ</t>
    </rPh>
    <rPh sb="45" eb="46">
      <t>チョウ</t>
    </rPh>
    <rPh sb="46" eb="48">
      <t>チョウカン</t>
    </rPh>
    <rPh sb="48" eb="50">
      <t>カンボウ</t>
    </rPh>
    <rPh sb="50" eb="52">
      <t>ソウム</t>
    </rPh>
    <rPh sb="52" eb="54">
      <t>カチョウ</t>
    </rPh>
    <rPh sb="54" eb="56">
      <t>ツウチ</t>
    </rPh>
    <phoneticPr fontId="21"/>
  </si>
  <si>
    <t>上記自治省企画課長内かんの周知及び地方団体との協力関係について通知。</t>
    <rPh sb="0" eb="2">
      <t>ジョウキ</t>
    </rPh>
    <rPh sb="2" eb="5">
      <t>ジチショウ</t>
    </rPh>
    <rPh sb="5" eb="7">
      <t>キカク</t>
    </rPh>
    <rPh sb="7" eb="9">
      <t>カチョウ</t>
    </rPh>
    <rPh sb="9" eb="10">
      <t>ナイ</t>
    </rPh>
    <rPh sb="13" eb="15">
      <t>シュウチ</t>
    </rPh>
    <rPh sb="15" eb="16">
      <t>オヨ</t>
    </rPh>
    <rPh sb="17" eb="19">
      <t>チホウ</t>
    </rPh>
    <rPh sb="19" eb="21">
      <t>ダンタイ</t>
    </rPh>
    <rPh sb="23" eb="25">
      <t>キョウリョク</t>
    </rPh>
    <rPh sb="25" eb="27">
      <t>カンケイ</t>
    </rPh>
    <rPh sb="31" eb="33">
      <t>ツウチ</t>
    </rPh>
    <phoneticPr fontId="21"/>
  </si>
  <si>
    <t xml:space="preserve"> 7. 2.24</t>
    <phoneticPr fontId="21"/>
  </si>
  <si>
    <t>阪神・淡路大震災復興の基本方針及び組織に関する法律（法律第12号）</t>
    <rPh sb="0" eb="2">
      <t>ハンシン</t>
    </rPh>
    <rPh sb="3" eb="5">
      <t>アワジ</t>
    </rPh>
    <rPh sb="5" eb="8">
      <t>ダイシンサイ</t>
    </rPh>
    <rPh sb="8" eb="10">
      <t>フッコウ</t>
    </rPh>
    <rPh sb="11" eb="13">
      <t>キホン</t>
    </rPh>
    <rPh sb="13" eb="15">
      <t>ホウシン</t>
    </rPh>
    <rPh sb="15" eb="16">
      <t>オヨ</t>
    </rPh>
    <rPh sb="17" eb="19">
      <t>ソシキ</t>
    </rPh>
    <rPh sb="20" eb="21">
      <t>カン</t>
    </rPh>
    <rPh sb="23" eb="25">
      <t>ホウリツ</t>
    </rPh>
    <rPh sb="26" eb="28">
      <t>ホウリツ</t>
    </rPh>
    <rPh sb="28" eb="29">
      <t>ダイ</t>
    </rPh>
    <rPh sb="31" eb="32">
      <t>ゴウ</t>
    </rPh>
    <phoneticPr fontId="21"/>
  </si>
  <si>
    <t>「阪神・淡路復興対策本部」の設置
首相を本部長とし，全閣僚で構成。</t>
    <rPh sb="1" eb="3">
      <t>ハンシン</t>
    </rPh>
    <rPh sb="4" eb="6">
      <t>アワジ</t>
    </rPh>
    <rPh sb="6" eb="8">
      <t>フッコウ</t>
    </rPh>
    <rPh sb="8" eb="10">
      <t>タイサク</t>
    </rPh>
    <rPh sb="10" eb="12">
      <t>ホンブ</t>
    </rPh>
    <rPh sb="14" eb="16">
      <t>セッチ</t>
    </rPh>
    <rPh sb="17" eb="19">
      <t>シュショウ</t>
    </rPh>
    <rPh sb="20" eb="23">
      <t>ホンブチョウ</t>
    </rPh>
    <rPh sb="26" eb="29">
      <t>ゼンカクリョウ</t>
    </rPh>
    <rPh sb="30" eb="32">
      <t>コウセイ</t>
    </rPh>
    <phoneticPr fontId="21"/>
  </si>
  <si>
    <t xml:space="preserve"> 7. 2.27</t>
    <phoneticPr fontId="21"/>
  </si>
  <si>
    <t>阪神・淡路大震災に関する諸費用の法人税の取扱いについて（課法2-1，課審4-11，査調4-1）【通達】</t>
    <rPh sb="0" eb="2">
      <t>ハンシン</t>
    </rPh>
    <rPh sb="3" eb="5">
      <t>アワジ</t>
    </rPh>
    <rPh sb="5" eb="8">
      <t>ダイシンサイ</t>
    </rPh>
    <rPh sb="9" eb="10">
      <t>カン</t>
    </rPh>
    <rPh sb="12" eb="15">
      <t>ショヒヨウ</t>
    </rPh>
    <rPh sb="16" eb="19">
      <t>ホウジンゼイ</t>
    </rPh>
    <rPh sb="20" eb="22">
      <t>トリアツカ</t>
    </rPh>
    <rPh sb="28" eb="29">
      <t>カ</t>
    </rPh>
    <rPh sb="29" eb="30">
      <t>ホウ</t>
    </rPh>
    <rPh sb="34" eb="35">
      <t>カ</t>
    </rPh>
    <rPh sb="35" eb="36">
      <t>シン</t>
    </rPh>
    <rPh sb="41" eb="42">
      <t>サ</t>
    </rPh>
    <rPh sb="42" eb="43">
      <t>チョウ</t>
    </rPh>
    <rPh sb="48" eb="50">
      <t>ツウタツ</t>
    </rPh>
    <phoneticPr fontId="21"/>
  </si>
  <si>
    <t>② －3</t>
    <phoneticPr fontId="21"/>
  </si>
  <si>
    <t xml:space="preserve"> 7. 3. 1</t>
    <phoneticPr fontId="21"/>
  </si>
  <si>
    <t>阪神・淡路大震災に対処するための特別の財政援助及び助成に関する法律（法律第16号）</t>
    <rPh sb="0" eb="2">
      <t>ハンシン</t>
    </rPh>
    <rPh sb="3" eb="5">
      <t>アワジ</t>
    </rPh>
    <rPh sb="5" eb="8">
      <t>ダイシンサイ</t>
    </rPh>
    <rPh sb="9" eb="11">
      <t>タイショ</t>
    </rPh>
    <rPh sb="16" eb="18">
      <t>トクベツ</t>
    </rPh>
    <rPh sb="19" eb="21">
      <t>ザイセイ</t>
    </rPh>
    <rPh sb="21" eb="23">
      <t>エンジョ</t>
    </rPh>
    <rPh sb="23" eb="24">
      <t>オヨ</t>
    </rPh>
    <rPh sb="25" eb="27">
      <t>ジョセイ</t>
    </rPh>
    <rPh sb="28" eb="29">
      <t>カン</t>
    </rPh>
    <rPh sb="31" eb="33">
      <t>ホウリツ</t>
    </rPh>
    <rPh sb="34" eb="36">
      <t>ホウリツ</t>
    </rPh>
    <rPh sb="36" eb="37">
      <t>ダイ</t>
    </rPh>
    <rPh sb="39" eb="40">
      <t>ゴウ</t>
    </rPh>
    <phoneticPr fontId="21"/>
  </si>
  <si>
    <t>地方税の減免に対する措置として，平成6年度に加え，平成7年度にも歳入欠かん等債の発行を可能とする。</t>
    <rPh sb="0" eb="3">
      <t>チホウゼイ</t>
    </rPh>
    <rPh sb="4" eb="6">
      <t>ゲンメン</t>
    </rPh>
    <rPh sb="7" eb="8">
      <t>タイ</t>
    </rPh>
    <rPh sb="10" eb="12">
      <t>ソチ</t>
    </rPh>
    <rPh sb="16" eb="18">
      <t>ヘイセイ</t>
    </rPh>
    <rPh sb="19" eb="21">
      <t>ネンド</t>
    </rPh>
    <rPh sb="22" eb="23">
      <t>クワ</t>
    </rPh>
    <rPh sb="25" eb="27">
      <t>ヘイセイ</t>
    </rPh>
    <rPh sb="28" eb="30">
      <t>ネンド</t>
    </rPh>
    <rPh sb="32" eb="34">
      <t>サイニュウ</t>
    </rPh>
    <rPh sb="34" eb="35">
      <t>ケツ</t>
    </rPh>
    <rPh sb="37" eb="38">
      <t>トウ</t>
    </rPh>
    <rPh sb="38" eb="39">
      <t>サイ</t>
    </rPh>
    <rPh sb="40" eb="42">
      <t>ハッコウ</t>
    </rPh>
    <rPh sb="43" eb="45">
      <t>カノウ</t>
    </rPh>
    <phoneticPr fontId="21"/>
  </si>
  <si>
    <t>⑤－ 4</t>
    <phoneticPr fontId="21"/>
  </si>
  <si>
    <t xml:space="preserve"> 7. 3. 7</t>
    <phoneticPr fontId="21"/>
  </si>
  <si>
    <t>阪神・淡路大震災への税制上の対応―大震災からの力強い早期再生に向けて―（自由民主党・日本社会党・新党さきがけ）</t>
    <rPh sb="0" eb="2">
      <t>ハンシン</t>
    </rPh>
    <rPh sb="3" eb="5">
      <t>アワジ</t>
    </rPh>
    <rPh sb="5" eb="8">
      <t>ダイシンサイ</t>
    </rPh>
    <rPh sb="10" eb="13">
      <t>ゼイセイジョウ</t>
    </rPh>
    <rPh sb="14" eb="16">
      <t>タイオウ</t>
    </rPh>
    <rPh sb="17" eb="20">
      <t>ダイシンサイ</t>
    </rPh>
    <rPh sb="23" eb="25">
      <t>チカラヅヨ</t>
    </rPh>
    <rPh sb="26" eb="28">
      <t>ソウキ</t>
    </rPh>
    <rPh sb="28" eb="30">
      <t>サイセイ</t>
    </rPh>
    <rPh sb="31" eb="32">
      <t>ム</t>
    </rPh>
    <rPh sb="36" eb="38">
      <t>ジユウ</t>
    </rPh>
    <rPh sb="38" eb="41">
      <t>ミンシュトウ</t>
    </rPh>
    <rPh sb="42" eb="44">
      <t>ニホン</t>
    </rPh>
    <rPh sb="44" eb="47">
      <t>シャカイトウ</t>
    </rPh>
    <rPh sb="48" eb="50">
      <t>シントウ</t>
    </rPh>
    <phoneticPr fontId="21"/>
  </si>
  <si>
    <t>国税・地方税を通じた税制上の更なる対応措置がとりまとめられた。</t>
    <rPh sb="0" eb="2">
      <t>コクゼイ</t>
    </rPh>
    <rPh sb="3" eb="6">
      <t>チホウゼイ</t>
    </rPh>
    <rPh sb="7" eb="8">
      <t>ツウ</t>
    </rPh>
    <rPh sb="10" eb="13">
      <t>ゼイセイジョウ</t>
    </rPh>
    <rPh sb="14" eb="15">
      <t>サラ</t>
    </rPh>
    <rPh sb="17" eb="19">
      <t>タイオウ</t>
    </rPh>
    <rPh sb="19" eb="21">
      <t>ソチ</t>
    </rPh>
    <phoneticPr fontId="21"/>
  </si>
  <si>
    <t xml:space="preserve"> 7. 3. 9</t>
    <phoneticPr fontId="21"/>
  </si>
  <si>
    <t>阪神・淡路大震災に対処するための特別の財政援助及び助成に関する法律第80条第1項の徴収金等の範囲を定める省令（自治省令第4号）</t>
    <rPh sb="0" eb="2">
      <t>ハンシン</t>
    </rPh>
    <rPh sb="3" eb="5">
      <t>アワジ</t>
    </rPh>
    <rPh sb="5" eb="8">
      <t>ダイシンサイ</t>
    </rPh>
    <rPh sb="9" eb="11">
      <t>タイショ</t>
    </rPh>
    <rPh sb="16" eb="18">
      <t>トクベツ</t>
    </rPh>
    <rPh sb="19" eb="21">
      <t>ザイセイ</t>
    </rPh>
    <rPh sb="21" eb="23">
      <t>エンジョ</t>
    </rPh>
    <rPh sb="23" eb="24">
      <t>オヨ</t>
    </rPh>
    <rPh sb="25" eb="27">
      <t>ジョセイ</t>
    </rPh>
    <rPh sb="28" eb="29">
      <t>カン</t>
    </rPh>
    <rPh sb="31" eb="33">
      <t>ホウリツ</t>
    </rPh>
    <rPh sb="33" eb="34">
      <t>ダイ</t>
    </rPh>
    <rPh sb="36" eb="37">
      <t>ジョウ</t>
    </rPh>
    <rPh sb="37" eb="38">
      <t>ダイ</t>
    </rPh>
    <rPh sb="39" eb="40">
      <t>コウ</t>
    </rPh>
    <rPh sb="41" eb="43">
      <t>チョウシュウ</t>
    </rPh>
    <rPh sb="43" eb="44">
      <t>キン</t>
    </rPh>
    <rPh sb="44" eb="45">
      <t>トウ</t>
    </rPh>
    <rPh sb="46" eb="48">
      <t>ハンイ</t>
    </rPh>
    <rPh sb="49" eb="50">
      <t>サダ</t>
    </rPh>
    <rPh sb="52" eb="54">
      <t>ショウレイ</t>
    </rPh>
    <rPh sb="55" eb="58">
      <t>ジチショウ</t>
    </rPh>
    <rPh sb="58" eb="59">
      <t>レイ</t>
    </rPh>
    <rPh sb="59" eb="60">
      <t>ダイ</t>
    </rPh>
    <rPh sb="61" eb="62">
      <t>ゴウ</t>
    </rPh>
    <phoneticPr fontId="21"/>
  </si>
  <si>
    <t>上記法律制定を受け，地方税の減免対する措置として，歳入欠かん等債を充てることができる地方税の税目を従来の普通税から一部目的税（事業所税・都市計画税）まで拡大した。</t>
    <rPh sb="0" eb="2">
      <t>ジョウキ</t>
    </rPh>
    <rPh sb="2" eb="4">
      <t>ホウリツ</t>
    </rPh>
    <rPh sb="4" eb="6">
      <t>セイテイ</t>
    </rPh>
    <rPh sb="7" eb="8">
      <t>ウ</t>
    </rPh>
    <rPh sb="10" eb="13">
      <t>チホウゼイ</t>
    </rPh>
    <rPh sb="14" eb="16">
      <t>ゲンメン</t>
    </rPh>
    <rPh sb="16" eb="17">
      <t>タイ</t>
    </rPh>
    <rPh sb="19" eb="21">
      <t>ソチ</t>
    </rPh>
    <rPh sb="25" eb="27">
      <t>サイニュウ</t>
    </rPh>
    <rPh sb="27" eb="28">
      <t>ケツ</t>
    </rPh>
    <rPh sb="30" eb="31">
      <t>ナド</t>
    </rPh>
    <rPh sb="31" eb="32">
      <t>サイ</t>
    </rPh>
    <rPh sb="33" eb="34">
      <t>ア</t>
    </rPh>
    <rPh sb="42" eb="45">
      <t>チホウゼイ</t>
    </rPh>
    <rPh sb="46" eb="48">
      <t>ゼイモク</t>
    </rPh>
    <rPh sb="49" eb="51">
      <t>ジュウライ</t>
    </rPh>
    <rPh sb="52" eb="54">
      <t>フツウ</t>
    </rPh>
    <rPh sb="54" eb="55">
      <t>ゼイ</t>
    </rPh>
    <rPh sb="57" eb="59">
      <t>イチブ</t>
    </rPh>
    <rPh sb="59" eb="62">
      <t>モクテキゼイ</t>
    </rPh>
    <rPh sb="63" eb="66">
      <t>ジギョウショ</t>
    </rPh>
    <rPh sb="66" eb="67">
      <t>ゼイ</t>
    </rPh>
    <rPh sb="68" eb="70">
      <t>トシ</t>
    </rPh>
    <rPh sb="70" eb="72">
      <t>ケイカク</t>
    </rPh>
    <rPh sb="72" eb="73">
      <t>ゼイ</t>
    </rPh>
    <rPh sb="76" eb="78">
      <t>カクダイ</t>
    </rPh>
    <phoneticPr fontId="21"/>
  </si>
  <si>
    <t>⑤－ 3</t>
    <phoneticPr fontId="21"/>
  </si>
  <si>
    <t>阪神・淡路大震災の被災者に係る地方税の減免措置の取扱いについて（自治税企第5号。自治省税務局長）【通達】</t>
    <rPh sb="0" eb="2">
      <t>ハンシン</t>
    </rPh>
    <rPh sb="3" eb="5">
      <t>アワジ</t>
    </rPh>
    <rPh sb="5" eb="8">
      <t>ダイシンサイ</t>
    </rPh>
    <rPh sb="9" eb="12">
      <t>ヒサイシャ</t>
    </rPh>
    <rPh sb="13" eb="14">
      <t>カカ</t>
    </rPh>
    <rPh sb="15" eb="18">
      <t>チホウゼイ</t>
    </rPh>
    <rPh sb="19" eb="21">
      <t>ゲンメン</t>
    </rPh>
    <rPh sb="21" eb="23">
      <t>ソチ</t>
    </rPh>
    <rPh sb="24" eb="26">
      <t>トリアツカ</t>
    </rPh>
    <rPh sb="32" eb="34">
      <t>ジチ</t>
    </rPh>
    <rPh sb="34" eb="35">
      <t>ゼイ</t>
    </rPh>
    <rPh sb="35" eb="36">
      <t>クワダ</t>
    </rPh>
    <rPh sb="36" eb="37">
      <t>ダイ</t>
    </rPh>
    <rPh sb="38" eb="39">
      <t>ゴウ</t>
    </rPh>
    <rPh sb="40" eb="43">
      <t>ジチショウ</t>
    </rPh>
    <rPh sb="43" eb="45">
      <t>ゼイム</t>
    </rPh>
    <rPh sb="45" eb="47">
      <t>キョクチョウ</t>
    </rPh>
    <rPh sb="49" eb="51">
      <t>ツウタツ</t>
    </rPh>
    <phoneticPr fontId="21"/>
  </si>
  <si>
    <t>阪神・淡路大震災の被災者に係る減免措置について下記の取扱いを定めた。
・平成7年度においても災害減免通達を基準とした減免措置を講じることが適当である。
・不動産取得税については，平成6･7年度においては，被災家屋の代替家屋の取得について減免措置を講じることが適当である。
・事業所税については，平成6･7年度においては，休止期間に応じた資産割の減免及び被災事業用家屋の代替家屋を新増築した場合の新増設分の減免措置を講じることが適当である。</t>
    <rPh sb="0" eb="2">
      <t>ハンシン</t>
    </rPh>
    <rPh sb="3" eb="5">
      <t>アワジ</t>
    </rPh>
    <rPh sb="5" eb="8">
      <t>ダイシンサイ</t>
    </rPh>
    <rPh sb="9" eb="11">
      <t>ヒサイ</t>
    </rPh>
    <rPh sb="11" eb="12">
      <t>シャ</t>
    </rPh>
    <rPh sb="13" eb="14">
      <t>カカ</t>
    </rPh>
    <rPh sb="15" eb="17">
      <t>ゲンメン</t>
    </rPh>
    <rPh sb="17" eb="19">
      <t>ソチ</t>
    </rPh>
    <rPh sb="23" eb="25">
      <t>カキ</t>
    </rPh>
    <rPh sb="26" eb="28">
      <t>トリアツカ</t>
    </rPh>
    <rPh sb="30" eb="31">
      <t>サダ</t>
    </rPh>
    <rPh sb="36" eb="38">
      <t>ヘイセイ</t>
    </rPh>
    <rPh sb="39" eb="41">
      <t>ネンド</t>
    </rPh>
    <rPh sb="46" eb="48">
      <t>サイガイ</t>
    </rPh>
    <rPh sb="48" eb="50">
      <t>ゲンメン</t>
    </rPh>
    <rPh sb="50" eb="52">
      <t>ツウタツ</t>
    </rPh>
    <rPh sb="53" eb="55">
      <t>キジュン</t>
    </rPh>
    <rPh sb="58" eb="60">
      <t>ゲンメン</t>
    </rPh>
    <rPh sb="60" eb="62">
      <t>ソチ</t>
    </rPh>
    <rPh sb="63" eb="64">
      <t>コウ</t>
    </rPh>
    <rPh sb="69" eb="71">
      <t>テキトウ</t>
    </rPh>
    <rPh sb="77" eb="80">
      <t>フドウサン</t>
    </rPh>
    <rPh sb="80" eb="82">
      <t>シュトク</t>
    </rPh>
    <rPh sb="82" eb="83">
      <t>ゼイ</t>
    </rPh>
    <rPh sb="89" eb="91">
      <t>ヘイセイ</t>
    </rPh>
    <rPh sb="94" eb="96">
      <t>ネンド</t>
    </rPh>
    <rPh sb="102" eb="104">
      <t>ヒサイ</t>
    </rPh>
    <rPh sb="104" eb="106">
      <t>カオク</t>
    </rPh>
    <rPh sb="107" eb="109">
      <t>ダイタイ</t>
    </rPh>
    <rPh sb="109" eb="111">
      <t>カオク</t>
    </rPh>
    <rPh sb="112" eb="114">
      <t>シュトク</t>
    </rPh>
    <rPh sb="118" eb="120">
      <t>ゲンメン</t>
    </rPh>
    <rPh sb="120" eb="122">
      <t>ソチ</t>
    </rPh>
    <rPh sb="123" eb="124">
      <t>コウ</t>
    </rPh>
    <rPh sb="129" eb="131">
      <t>テキトウ</t>
    </rPh>
    <rPh sb="137" eb="140">
      <t>ジギョウショ</t>
    </rPh>
    <rPh sb="140" eb="141">
      <t>ゼイ</t>
    </rPh>
    <rPh sb="147" eb="149">
      <t>ヘイセイ</t>
    </rPh>
    <rPh sb="152" eb="154">
      <t>ネンド</t>
    </rPh>
    <rPh sb="160" eb="162">
      <t>キュウシ</t>
    </rPh>
    <rPh sb="162" eb="164">
      <t>キカン</t>
    </rPh>
    <rPh sb="165" eb="166">
      <t>オウ</t>
    </rPh>
    <rPh sb="168" eb="170">
      <t>シサン</t>
    </rPh>
    <rPh sb="170" eb="171">
      <t>ワリ</t>
    </rPh>
    <rPh sb="172" eb="174">
      <t>ゲンメン</t>
    </rPh>
    <rPh sb="174" eb="175">
      <t>オヨ</t>
    </rPh>
    <rPh sb="176" eb="178">
      <t>ヒサイ</t>
    </rPh>
    <rPh sb="178" eb="180">
      <t>ジギョウ</t>
    </rPh>
    <rPh sb="180" eb="181">
      <t>ヨウ</t>
    </rPh>
    <rPh sb="181" eb="183">
      <t>カオク</t>
    </rPh>
    <rPh sb="184" eb="186">
      <t>ダイタイ</t>
    </rPh>
    <rPh sb="186" eb="188">
      <t>カオク</t>
    </rPh>
    <rPh sb="189" eb="192">
      <t>シンゾウチク</t>
    </rPh>
    <rPh sb="194" eb="196">
      <t>バアイ</t>
    </rPh>
    <rPh sb="197" eb="200">
      <t>シンゾウセツ</t>
    </rPh>
    <rPh sb="200" eb="201">
      <t>ブン</t>
    </rPh>
    <rPh sb="202" eb="204">
      <t>ゲンメン</t>
    </rPh>
    <rPh sb="204" eb="206">
      <t>ソチ</t>
    </rPh>
    <rPh sb="207" eb="208">
      <t>コウ</t>
    </rPh>
    <rPh sb="213" eb="215">
      <t>テキトウ</t>
    </rPh>
    <phoneticPr fontId="21"/>
  </si>
  <si>
    <t xml:space="preserve">
③－ 4
④－ 3
④－ 8
③－20
③－21</t>
    <phoneticPr fontId="21"/>
  </si>
  <si>
    <t>阪神・淡路大震災に係る個人市民税及び事業所税の取扱いについて（自治市第22号。市町村税課長）【通達】</t>
    <rPh sb="0" eb="2">
      <t>ハンシン</t>
    </rPh>
    <rPh sb="3" eb="5">
      <t>アワジ</t>
    </rPh>
    <rPh sb="5" eb="8">
      <t>ダイシンサイ</t>
    </rPh>
    <rPh sb="9" eb="10">
      <t>カカ</t>
    </rPh>
    <rPh sb="11" eb="13">
      <t>コジン</t>
    </rPh>
    <rPh sb="13" eb="16">
      <t>シミンゼイ</t>
    </rPh>
    <rPh sb="16" eb="17">
      <t>オヨ</t>
    </rPh>
    <rPh sb="18" eb="21">
      <t>ジギョウショ</t>
    </rPh>
    <rPh sb="21" eb="22">
      <t>ゼイ</t>
    </rPh>
    <rPh sb="23" eb="25">
      <t>トリアツカ</t>
    </rPh>
    <rPh sb="31" eb="33">
      <t>ジチ</t>
    </rPh>
    <rPh sb="33" eb="34">
      <t>シ</t>
    </rPh>
    <rPh sb="34" eb="35">
      <t>ダイ</t>
    </rPh>
    <rPh sb="37" eb="38">
      <t>ゴウ</t>
    </rPh>
    <rPh sb="39" eb="41">
      <t>シチョウ</t>
    </rPh>
    <rPh sb="41" eb="43">
      <t>ソンゼイ</t>
    </rPh>
    <rPh sb="43" eb="45">
      <t>カチョウ</t>
    </rPh>
    <rPh sb="47" eb="49">
      <t>ツウタツ</t>
    </rPh>
    <phoneticPr fontId="21"/>
  </si>
  <si>
    <t>上記通知に基づく個人住民税及び事業所税の減免措置の具体的な取扱いを定めた。</t>
    <rPh sb="0" eb="2">
      <t>ジョウキ</t>
    </rPh>
    <rPh sb="2" eb="4">
      <t>ツウチ</t>
    </rPh>
    <rPh sb="5" eb="6">
      <t>モト</t>
    </rPh>
    <rPh sb="8" eb="10">
      <t>コジン</t>
    </rPh>
    <rPh sb="10" eb="13">
      <t>ジュウミンゼイ</t>
    </rPh>
    <rPh sb="13" eb="14">
      <t>オヨ</t>
    </rPh>
    <rPh sb="15" eb="18">
      <t>ジギョウショ</t>
    </rPh>
    <rPh sb="18" eb="19">
      <t>ゼイ</t>
    </rPh>
    <rPh sb="20" eb="22">
      <t>ゲンメン</t>
    </rPh>
    <rPh sb="22" eb="24">
      <t>ソチ</t>
    </rPh>
    <rPh sb="25" eb="28">
      <t>グタイテキ</t>
    </rPh>
    <rPh sb="29" eb="31">
      <t>トリアツカ</t>
    </rPh>
    <rPh sb="33" eb="34">
      <t>サダ</t>
    </rPh>
    <phoneticPr fontId="21"/>
  </si>
  <si>
    <t>③－ 4
③－20
③－21</t>
    <phoneticPr fontId="21"/>
  </si>
  <si>
    <t>阪神・淡路大震災に係る不動産取得税の減免措置について（自治府第9号。府県税課長）【通達】</t>
    <rPh sb="0" eb="2">
      <t>ハンシン</t>
    </rPh>
    <rPh sb="3" eb="5">
      <t>アワジ</t>
    </rPh>
    <rPh sb="5" eb="8">
      <t>ダイシンサイ</t>
    </rPh>
    <rPh sb="9" eb="10">
      <t>カカ</t>
    </rPh>
    <rPh sb="11" eb="13">
      <t>フドウ</t>
    </rPh>
    <rPh sb="13" eb="14">
      <t>サン</t>
    </rPh>
    <rPh sb="14" eb="16">
      <t>シュトク</t>
    </rPh>
    <rPh sb="16" eb="17">
      <t>ゼイ</t>
    </rPh>
    <rPh sb="18" eb="20">
      <t>ゲンメン</t>
    </rPh>
    <rPh sb="20" eb="22">
      <t>ソチ</t>
    </rPh>
    <rPh sb="27" eb="29">
      <t>ジチ</t>
    </rPh>
    <rPh sb="29" eb="30">
      <t>フ</t>
    </rPh>
    <rPh sb="30" eb="31">
      <t>ダイ</t>
    </rPh>
    <rPh sb="32" eb="33">
      <t>ゴウ</t>
    </rPh>
    <rPh sb="34" eb="36">
      <t>フケン</t>
    </rPh>
    <rPh sb="36" eb="37">
      <t>ゼイ</t>
    </rPh>
    <rPh sb="37" eb="38">
      <t>カ</t>
    </rPh>
    <rPh sb="38" eb="39">
      <t>チョウ</t>
    </rPh>
    <rPh sb="41" eb="43">
      <t>ツウタツ</t>
    </rPh>
    <phoneticPr fontId="21"/>
  </si>
  <si>
    <t>上記通知に基づく不動産取得税の減免措置の具体的な取扱いを定めた。</t>
    <rPh sb="0" eb="2">
      <t>ジョウキ</t>
    </rPh>
    <rPh sb="2" eb="4">
      <t>ツウチ</t>
    </rPh>
    <rPh sb="5" eb="6">
      <t>モト</t>
    </rPh>
    <rPh sb="8" eb="11">
      <t>フドウサン</t>
    </rPh>
    <rPh sb="11" eb="13">
      <t>シュトク</t>
    </rPh>
    <rPh sb="13" eb="14">
      <t>ゼイ</t>
    </rPh>
    <rPh sb="15" eb="17">
      <t>ゲンメン</t>
    </rPh>
    <rPh sb="17" eb="19">
      <t>ソチ</t>
    </rPh>
    <rPh sb="20" eb="23">
      <t>グタイテキ</t>
    </rPh>
    <rPh sb="24" eb="26">
      <t>トリアツカ</t>
    </rPh>
    <rPh sb="28" eb="29">
      <t>サダ</t>
    </rPh>
    <phoneticPr fontId="21"/>
  </si>
  <si>
    <t>④－ 8</t>
    <phoneticPr fontId="21"/>
  </si>
  <si>
    <t xml:space="preserve"> 7. 3.15</t>
    <phoneticPr fontId="21"/>
  </si>
  <si>
    <t>大阪府及び兵庫県の一部の地域に置おける国税に関する申告期限等を指定する件（国税庁告示第2号）</t>
    <rPh sb="0" eb="3">
      <t>オオサカフ</t>
    </rPh>
    <rPh sb="3" eb="4">
      <t>オヨ</t>
    </rPh>
    <rPh sb="5" eb="8">
      <t>ヒョウゴケン</t>
    </rPh>
    <rPh sb="9" eb="11">
      <t>イチブ</t>
    </rPh>
    <rPh sb="12" eb="14">
      <t>チイキ</t>
    </rPh>
    <rPh sb="15" eb="16">
      <t>オ</t>
    </rPh>
    <rPh sb="19" eb="21">
      <t>コクゼイ</t>
    </rPh>
    <rPh sb="22" eb="23">
      <t>カン</t>
    </rPh>
    <rPh sb="25" eb="27">
      <t>シンコク</t>
    </rPh>
    <rPh sb="27" eb="29">
      <t>キゲン</t>
    </rPh>
    <rPh sb="29" eb="30">
      <t>トウ</t>
    </rPh>
    <rPh sb="31" eb="33">
      <t>シテイ</t>
    </rPh>
    <rPh sb="35" eb="36">
      <t>ケン</t>
    </rPh>
    <rPh sb="37" eb="39">
      <t>コクゼイ</t>
    </rPh>
    <rPh sb="39" eb="40">
      <t>チョウ</t>
    </rPh>
    <rPh sb="40" eb="42">
      <t>コクジ</t>
    </rPh>
    <rPh sb="42" eb="43">
      <t>ダイ</t>
    </rPh>
    <rPh sb="44" eb="45">
      <t>ゴウ</t>
    </rPh>
    <phoneticPr fontId="21"/>
  </si>
  <si>
    <t>平7.1.21の地域指定告示を受けて平7.1.17から平7.5.30までの間に期限が到来するものについては，平7.5.30までの間に期限が到来するものについては，平成7.5.31まで延長する。</t>
    <rPh sb="0" eb="1">
      <t>ヒラ</t>
    </rPh>
    <rPh sb="8" eb="10">
      <t>チイキ</t>
    </rPh>
    <rPh sb="10" eb="12">
      <t>シテイ</t>
    </rPh>
    <rPh sb="12" eb="14">
      <t>コクジ</t>
    </rPh>
    <rPh sb="15" eb="16">
      <t>ウ</t>
    </rPh>
    <rPh sb="18" eb="19">
      <t>ヒラ</t>
    </rPh>
    <rPh sb="27" eb="28">
      <t>ヘイ</t>
    </rPh>
    <rPh sb="37" eb="38">
      <t>カン</t>
    </rPh>
    <rPh sb="39" eb="41">
      <t>キゲン</t>
    </rPh>
    <rPh sb="42" eb="44">
      <t>トウライ</t>
    </rPh>
    <rPh sb="54" eb="55">
      <t>ヒラ</t>
    </rPh>
    <rPh sb="64" eb="65">
      <t>アイダ</t>
    </rPh>
    <rPh sb="66" eb="68">
      <t>キゲン</t>
    </rPh>
    <rPh sb="69" eb="71">
      <t>トウライ</t>
    </rPh>
    <rPh sb="81" eb="83">
      <t>ヘイセイ</t>
    </rPh>
    <rPh sb="91" eb="93">
      <t>エンチョウ</t>
    </rPh>
    <phoneticPr fontId="21"/>
  </si>
  <si>
    <t>阪神・淡路大震災に伴う申告等の期限の取扱いについて（官総5-9ほか9課）【通達】</t>
    <rPh sb="0" eb="2">
      <t>ハンシン</t>
    </rPh>
    <rPh sb="3" eb="5">
      <t>アワジ</t>
    </rPh>
    <rPh sb="5" eb="8">
      <t>ダイシンサイ</t>
    </rPh>
    <rPh sb="9" eb="10">
      <t>トモナ</t>
    </rPh>
    <rPh sb="11" eb="14">
      <t>シンコクトウ</t>
    </rPh>
    <rPh sb="15" eb="17">
      <t>キゲン</t>
    </rPh>
    <rPh sb="18" eb="20">
      <t>トリアツカ</t>
    </rPh>
    <rPh sb="26" eb="27">
      <t>カン</t>
    </rPh>
    <rPh sb="27" eb="28">
      <t>ソウ</t>
    </rPh>
    <rPh sb="34" eb="35">
      <t>カ</t>
    </rPh>
    <rPh sb="37" eb="39">
      <t>ツウタツ</t>
    </rPh>
    <phoneticPr fontId="21"/>
  </si>
  <si>
    <t>上記告示が定められたことに伴い，期限の取扱いについて周知。</t>
    <rPh sb="0" eb="2">
      <t>ジョウキ</t>
    </rPh>
    <rPh sb="2" eb="4">
      <t>コクジ</t>
    </rPh>
    <rPh sb="5" eb="6">
      <t>サダ</t>
    </rPh>
    <rPh sb="13" eb="14">
      <t>トモナ</t>
    </rPh>
    <rPh sb="16" eb="18">
      <t>キゲン</t>
    </rPh>
    <rPh sb="19" eb="21">
      <t>トリアツカ</t>
    </rPh>
    <rPh sb="26" eb="28">
      <t>シュウチ</t>
    </rPh>
    <phoneticPr fontId="21"/>
  </si>
  <si>
    <t>阪神・淡路大震災の被災者等に係る国税関係法律の臨時特例に関する法律第8条第1項の規定に基づき，大蔵大臣が阪神・淡路大震災の状況を勘案して別に定める日を指定する告示（大蔵省告示第50号）</t>
    <rPh sb="0" eb="2">
      <t>ハンシン</t>
    </rPh>
    <rPh sb="3" eb="5">
      <t>アワジ</t>
    </rPh>
    <rPh sb="5" eb="8">
      <t>ダイシンサイ</t>
    </rPh>
    <rPh sb="9" eb="11">
      <t>ヒサイ</t>
    </rPh>
    <rPh sb="11" eb="12">
      <t>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3" eb="34">
      <t>ダイ</t>
    </rPh>
    <rPh sb="35" eb="36">
      <t>ジョウ</t>
    </rPh>
    <rPh sb="36" eb="37">
      <t>ダイ</t>
    </rPh>
    <rPh sb="38" eb="39">
      <t>コウ</t>
    </rPh>
    <rPh sb="40" eb="42">
      <t>キテイ</t>
    </rPh>
    <rPh sb="43" eb="44">
      <t>モト</t>
    </rPh>
    <rPh sb="47" eb="49">
      <t>オオクラ</t>
    </rPh>
    <rPh sb="49" eb="51">
      <t>ダイジン</t>
    </rPh>
    <rPh sb="52" eb="54">
      <t>ハンシン</t>
    </rPh>
    <rPh sb="55" eb="57">
      <t>アワジ</t>
    </rPh>
    <rPh sb="57" eb="60">
      <t>ダイシンサイ</t>
    </rPh>
    <rPh sb="61" eb="63">
      <t>ジョウキョウ</t>
    </rPh>
    <rPh sb="64" eb="66">
      <t>カンアン</t>
    </rPh>
    <rPh sb="68" eb="69">
      <t>ベツ</t>
    </rPh>
    <rPh sb="70" eb="71">
      <t>サダ</t>
    </rPh>
    <rPh sb="73" eb="74">
      <t>ヒ</t>
    </rPh>
    <rPh sb="75" eb="77">
      <t>シテイ</t>
    </rPh>
    <rPh sb="79" eb="81">
      <t>コクジ</t>
    </rPh>
    <rPh sb="82" eb="85">
      <t>オオクラショウ</t>
    </rPh>
    <rPh sb="85" eb="87">
      <t>コクジ</t>
    </rPh>
    <rPh sb="87" eb="88">
      <t>ダイ</t>
    </rPh>
    <rPh sb="90" eb="91">
      <t>ゴウ</t>
    </rPh>
    <phoneticPr fontId="21"/>
  </si>
  <si>
    <t>平7.2.20の地域指定告示を受けて関税関係の期限の延長について，平7.5.30までの間に期限が到来するものについては平成7.5.31まで延長する。</t>
    <rPh sb="0" eb="1">
      <t>ヘイ</t>
    </rPh>
    <rPh sb="8" eb="10">
      <t>チイキ</t>
    </rPh>
    <rPh sb="10" eb="12">
      <t>シテイ</t>
    </rPh>
    <rPh sb="12" eb="14">
      <t>コクジ</t>
    </rPh>
    <rPh sb="15" eb="16">
      <t>ウ</t>
    </rPh>
    <rPh sb="18" eb="20">
      <t>カンゼイ</t>
    </rPh>
    <rPh sb="20" eb="22">
      <t>カンケイ</t>
    </rPh>
    <rPh sb="23" eb="25">
      <t>キゲン</t>
    </rPh>
    <rPh sb="26" eb="28">
      <t>エンチョウ</t>
    </rPh>
    <rPh sb="33" eb="34">
      <t>ヘイ</t>
    </rPh>
    <rPh sb="43" eb="44">
      <t>カン</t>
    </rPh>
    <rPh sb="45" eb="47">
      <t>キゲン</t>
    </rPh>
    <rPh sb="48" eb="50">
      <t>トウライ</t>
    </rPh>
    <rPh sb="59" eb="61">
      <t>ヘイセイ</t>
    </rPh>
    <rPh sb="69" eb="71">
      <t>エンチョウ</t>
    </rPh>
    <phoneticPr fontId="21"/>
  </si>
  <si>
    <t>阪神・淡路大震災に伴う被災納税者に対する期限の延長について（自治税企第6号。企画課長）【通達】</t>
    <rPh sb="0" eb="2">
      <t>ハンシン</t>
    </rPh>
    <rPh sb="3" eb="5">
      <t>アワジ</t>
    </rPh>
    <rPh sb="5" eb="8">
      <t>ダイシンサイ</t>
    </rPh>
    <rPh sb="9" eb="10">
      <t>トモナ</t>
    </rPh>
    <rPh sb="11" eb="13">
      <t>ヒサイ</t>
    </rPh>
    <rPh sb="13" eb="16">
      <t>ノウゼイシャ</t>
    </rPh>
    <rPh sb="17" eb="18">
      <t>タイ</t>
    </rPh>
    <rPh sb="20" eb="22">
      <t>キゲン</t>
    </rPh>
    <rPh sb="23" eb="25">
      <t>エンチョウ</t>
    </rPh>
    <rPh sb="30" eb="32">
      <t>ジチ</t>
    </rPh>
    <rPh sb="32" eb="33">
      <t>ゼイ</t>
    </rPh>
    <rPh sb="33" eb="34">
      <t>クワダ</t>
    </rPh>
    <rPh sb="34" eb="35">
      <t>ダイ</t>
    </rPh>
    <rPh sb="36" eb="37">
      <t>ゴウ</t>
    </rPh>
    <rPh sb="38" eb="40">
      <t>キカク</t>
    </rPh>
    <rPh sb="40" eb="42">
      <t>カチョウ</t>
    </rPh>
    <rPh sb="44" eb="46">
      <t>ツウタツ</t>
    </rPh>
    <phoneticPr fontId="21"/>
  </si>
  <si>
    <t>阪神・淡路大震災に伴う申告等の期限の取扱いについて（企画係長事務連絡）</t>
    <rPh sb="0" eb="2">
      <t>ハンシン</t>
    </rPh>
    <rPh sb="3" eb="5">
      <t>アワジ</t>
    </rPh>
    <rPh sb="5" eb="8">
      <t>ダイシンサイ</t>
    </rPh>
    <rPh sb="9" eb="10">
      <t>トモナ</t>
    </rPh>
    <rPh sb="11" eb="14">
      <t>シンコクナド</t>
    </rPh>
    <rPh sb="15" eb="17">
      <t>キゲン</t>
    </rPh>
    <rPh sb="18" eb="20">
      <t>トリアツカ</t>
    </rPh>
    <rPh sb="26" eb="28">
      <t>キカク</t>
    </rPh>
    <rPh sb="28" eb="30">
      <t>カカリチョウ</t>
    </rPh>
    <rPh sb="30" eb="32">
      <t>ジム</t>
    </rPh>
    <rPh sb="32" eb="34">
      <t>レンラク</t>
    </rPh>
    <phoneticPr fontId="21"/>
  </si>
  <si>
    <t>上記通知に基づく具体的な取扱いを連絡。</t>
    <rPh sb="0" eb="2">
      <t>ジョウキ</t>
    </rPh>
    <rPh sb="2" eb="4">
      <t>ツウチ</t>
    </rPh>
    <rPh sb="5" eb="6">
      <t>モト</t>
    </rPh>
    <rPh sb="8" eb="11">
      <t>グタイテキ</t>
    </rPh>
    <rPh sb="12" eb="14">
      <t>トリアツカ</t>
    </rPh>
    <rPh sb="16" eb="18">
      <t>レンラク</t>
    </rPh>
    <phoneticPr fontId="21"/>
  </si>
  <si>
    <t xml:space="preserve"> 7. 3.24</t>
    <phoneticPr fontId="21"/>
  </si>
  <si>
    <t>阪神・淡路大震災に伴う法人の破産宣告及び会社の最低資本金の制限の特例に関する法律（法律第42号）</t>
    <rPh sb="0" eb="2">
      <t>ハンシン</t>
    </rPh>
    <rPh sb="3" eb="5">
      <t>アワジ</t>
    </rPh>
    <rPh sb="5" eb="8">
      <t>ダイシンサイ</t>
    </rPh>
    <rPh sb="9" eb="10">
      <t>トモナ</t>
    </rPh>
    <rPh sb="11" eb="13">
      <t>ホウジン</t>
    </rPh>
    <rPh sb="14" eb="16">
      <t>ハサン</t>
    </rPh>
    <rPh sb="16" eb="18">
      <t>センコク</t>
    </rPh>
    <rPh sb="18" eb="19">
      <t>オヨ</t>
    </rPh>
    <rPh sb="20" eb="22">
      <t>カイシャ</t>
    </rPh>
    <rPh sb="23" eb="25">
      <t>サイテイ</t>
    </rPh>
    <rPh sb="25" eb="28">
      <t>シホンキン</t>
    </rPh>
    <rPh sb="29" eb="31">
      <t>セイゲン</t>
    </rPh>
    <rPh sb="32" eb="34">
      <t>トクレイ</t>
    </rPh>
    <rPh sb="35" eb="36">
      <t>カン</t>
    </rPh>
    <rPh sb="38" eb="40">
      <t>ホウリツ</t>
    </rPh>
    <rPh sb="41" eb="43">
      <t>ホウリツ</t>
    </rPh>
    <rPh sb="43" eb="44">
      <t>ダイ</t>
    </rPh>
    <rPh sb="46" eb="47">
      <t>ゴウ</t>
    </rPh>
    <phoneticPr fontId="21"/>
  </si>
  <si>
    <t>阪神・淡路大震災による被害により債務超過となった法人に対しては平9.1.16までの間，破産宣告に関して特例措置を設けるとともに，平7.1.17において大阪府及び兵庫県に本店登記が所在していた株式会社及び有限会社について最低資本金の猶予期間を平9.3.31まで1年間延長する。</t>
    <rPh sb="0" eb="2">
      <t>ハンシン</t>
    </rPh>
    <rPh sb="3" eb="5">
      <t>アワジ</t>
    </rPh>
    <rPh sb="5" eb="8">
      <t>ダイシンサイ</t>
    </rPh>
    <rPh sb="11" eb="13">
      <t>ヒガイ</t>
    </rPh>
    <rPh sb="16" eb="18">
      <t>サイム</t>
    </rPh>
    <rPh sb="18" eb="20">
      <t>チョウカ</t>
    </rPh>
    <rPh sb="24" eb="26">
      <t>ホウジン</t>
    </rPh>
    <rPh sb="27" eb="28">
      <t>タイ</t>
    </rPh>
    <rPh sb="31" eb="32">
      <t>ヘイ</t>
    </rPh>
    <rPh sb="41" eb="42">
      <t>カン</t>
    </rPh>
    <rPh sb="43" eb="45">
      <t>ハサン</t>
    </rPh>
    <rPh sb="45" eb="47">
      <t>センコク</t>
    </rPh>
    <rPh sb="48" eb="49">
      <t>カン</t>
    </rPh>
    <rPh sb="51" eb="53">
      <t>トクレイ</t>
    </rPh>
    <rPh sb="53" eb="55">
      <t>ソチ</t>
    </rPh>
    <rPh sb="56" eb="57">
      <t>モウ</t>
    </rPh>
    <rPh sb="64" eb="65">
      <t>ヘイ</t>
    </rPh>
    <rPh sb="75" eb="78">
      <t>オオサカフ</t>
    </rPh>
    <rPh sb="78" eb="79">
      <t>オヨ</t>
    </rPh>
    <rPh sb="80" eb="83">
      <t>ヒョウゴケン</t>
    </rPh>
    <rPh sb="84" eb="86">
      <t>ホンテン</t>
    </rPh>
    <rPh sb="86" eb="88">
      <t>トウキ</t>
    </rPh>
    <rPh sb="89" eb="91">
      <t>ショザイ</t>
    </rPh>
    <rPh sb="95" eb="99">
      <t>カブシキガイシャ</t>
    </rPh>
    <rPh sb="99" eb="100">
      <t>オヨ</t>
    </rPh>
    <rPh sb="101" eb="105">
      <t>ユウゲンガイシャ</t>
    </rPh>
    <rPh sb="109" eb="111">
      <t>サイテイ</t>
    </rPh>
    <rPh sb="111" eb="114">
      <t>シホンキン</t>
    </rPh>
    <rPh sb="115" eb="117">
      <t>ユウヨ</t>
    </rPh>
    <rPh sb="117" eb="119">
      <t>キカン</t>
    </rPh>
    <rPh sb="120" eb="121">
      <t>ヘイ</t>
    </rPh>
    <rPh sb="130" eb="132">
      <t>ネンカン</t>
    </rPh>
    <rPh sb="132" eb="134">
      <t>エンチョウ</t>
    </rPh>
    <phoneticPr fontId="21"/>
  </si>
  <si>
    <t xml:space="preserve"> 7. 3.27</t>
    <phoneticPr fontId="21"/>
  </si>
  <si>
    <t>阪神・淡路大震災の被災者等に係る国税関係法律の臨時特例に関する法律の一部改正（法律第48号）</t>
    <rPh sb="0" eb="2">
      <t>ハンシン</t>
    </rPh>
    <rPh sb="3" eb="5">
      <t>アワジ</t>
    </rPh>
    <rPh sb="5" eb="8">
      <t>ダイシンサイ</t>
    </rPh>
    <rPh sb="9" eb="11">
      <t>ヒサイ</t>
    </rPh>
    <rPh sb="11" eb="12">
      <t>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4" eb="36">
      <t>イチブ</t>
    </rPh>
    <rPh sb="36" eb="38">
      <t>カイセイ</t>
    </rPh>
    <rPh sb="39" eb="41">
      <t>ホウリツ</t>
    </rPh>
    <rPh sb="41" eb="42">
      <t>ダイ</t>
    </rPh>
    <rPh sb="44" eb="45">
      <t>ゴウ</t>
    </rPh>
    <phoneticPr fontId="21"/>
  </si>
  <si>
    <t>○所得税関係
・財形住宅（年金）貯蓄の不適格払出に係る特例
・最低資本金制度の特例に伴う特例
・住宅被災給与所得者の経済的利益等に係る特例
・代替住宅等を取得した場合の課税の繰延べ
・住宅取得促進税制に関する特例
○法人税関係
・震災損失額がある場合の繰戻還付の特例
・利子，配当等の源泉徴収税額還付に関する特例
・中間申告書の提出に関する特例
○所得税・法人税関係
・被災者向け優良賃貸住宅の割増償却
・被災代替資産等の特別償却
・土地譲渡益課税の特例
・特定の事業用資産の買換えの場合等の特例
・買換え特例に係る買換資産の取得期間の延長
・確定優良住宅地等予定地の譲渡に係る期間延長
○相続税，贈与税における課税価格の計算の特例
○地価税における被災土地等に係る減免措置
○登録免許税における代替建物等に係る免税
○登録免許税における最低資本金制度関係の特例
○消費税に係る課税事業者選択届出書提出の特例
○印紙税における特別貸付けに係る非課税措置</t>
    <rPh sb="1" eb="4">
      <t>ショトクゼイ</t>
    </rPh>
    <rPh sb="4" eb="6">
      <t>カンケイ</t>
    </rPh>
    <rPh sb="8" eb="10">
      <t>ザイケイ</t>
    </rPh>
    <rPh sb="10" eb="12">
      <t>ジュウタク</t>
    </rPh>
    <rPh sb="13" eb="15">
      <t>ネンキン</t>
    </rPh>
    <rPh sb="16" eb="18">
      <t>チョチク</t>
    </rPh>
    <rPh sb="19" eb="22">
      <t>フテキカク</t>
    </rPh>
    <rPh sb="22" eb="24">
      <t>ハライダシ</t>
    </rPh>
    <rPh sb="25" eb="26">
      <t>カカ</t>
    </rPh>
    <rPh sb="27" eb="29">
      <t>トクレイ</t>
    </rPh>
    <rPh sb="31" eb="33">
      <t>サイテイ</t>
    </rPh>
    <rPh sb="33" eb="36">
      <t>シホンキン</t>
    </rPh>
    <rPh sb="36" eb="38">
      <t>セイド</t>
    </rPh>
    <rPh sb="39" eb="41">
      <t>トクレイ</t>
    </rPh>
    <rPh sb="42" eb="43">
      <t>トモナ</t>
    </rPh>
    <rPh sb="44" eb="46">
      <t>トクレイ</t>
    </rPh>
    <rPh sb="48" eb="50">
      <t>ジュウタク</t>
    </rPh>
    <rPh sb="50" eb="52">
      <t>ヒサイ</t>
    </rPh>
    <rPh sb="52" eb="54">
      <t>キュウヨ</t>
    </rPh>
    <rPh sb="54" eb="56">
      <t>ショトク</t>
    </rPh>
    <rPh sb="56" eb="57">
      <t>シャ</t>
    </rPh>
    <rPh sb="58" eb="60">
      <t>ケイザイ</t>
    </rPh>
    <rPh sb="60" eb="61">
      <t>テキ</t>
    </rPh>
    <rPh sb="61" eb="63">
      <t>リエキ</t>
    </rPh>
    <rPh sb="63" eb="64">
      <t>トウ</t>
    </rPh>
    <rPh sb="65" eb="66">
      <t>カカ</t>
    </rPh>
    <rPh sb="67" eb="69">
      <t>トクレイ</t>
    </rPh>
    <rPh sb="71" eb="73">
      <t>ダイタイ</t>
    </rPh>
    <rPh sb="73" eb="75">
      <t>ジュウタク</t>
    </rPh>
    <rPh sb="75" eb="76">
      <t>トウ</t>
    </rPh>
    <rPh sb="77" eb="79">
      <t>シュトク</t>
    </rPh>
    <rPh sb="81" eb="83">
      <t>バアイ</t>
    </rPh>
    <rPh sb="84" eb="85">
      <t>カ</t>
    </rPh>
    <rPh sb="85" eb="86">
      <t>ゼイ</t>
    </rPh>
    <rPh sb="87" eb="89">
      <t>クリノベ</t>
    </rPh>
    <rPh sb="92" eb="94">
      <t>ジュウタク</t>
    </rPh>
    <rPh sb="94" eb="96">
      <t>シュトク</t>
    </rPh>
    <rPh sb="96" eb="98">
      <t>ソクシン</t>
    </rPh>
    <rPh sb="98" eb="100">
      <t>ゼイセイ</t>
    </rPh>
    <phoneticPr fontId="21"/>
  </si>
  <si>
    <t xml:space="preserve">
①－ 6
①－ 7
①－ 8
①－ 9
①－ 4
①－11
①－12
①－20
①－13
①－14
①－15
①－16
①－17
①－18
①－22
①－25
①－29
①－31
①－21
①－32</t>
    <phoneticPr fontId="21"/>
  </si>
  <si>
    <t>災害被害者に対する租税の減免，徴収猶予等に関する法律の施行に関する政令の一部改正（政令第100号）</t>
    <rPh sb="0" eb="2">
      <t>サイガイ</t>
    </rPh>
    <rPh sb="2" eb="5">
      <t>ヒガイシャ</t>
    </rPh>
    <rPh sb="6" eb="7">
      <t>タイ</t>
    </rPh>
    <rPh sb="9" eb="11">
      <t>ソゼイ</t>
    </rPh>
    <rPh sb="12" eb="14">
      <t>ゲンメン</t>
    </rPh>
    <rPh sb="15" eb="17">
      <t>チョウシュウ</t>
    </rPh>
    <rPh sb="17" eb="19">
      <t>ユウヨ</t>
    </rPh>
    <rPh sb="19" eb="20">
      <t>トウ</t>
    </rPh>
    <rPh sb="21" eb="22">
      <t>カン</t>
    </rPh>
    <rPh sb="24" eb="26">
      <t>ホウリツ</t>
    </rPh>
    <rPh sb="27" eb="29">
      <t>セコウ</t>
    </rPh>
    <rPh sb="30" eb="31">
      <t>カン</t>
    </rPh>
    <rPh sb="33" eb="35">
      <t>セイレイ</t>
    </rPh>
    <rPh sb="36" eb="38">
      <t>イチブ</t>
    </rPh>
    <rPh sb="38" eb="40">
      <t>カイセイ</t>
    </rPh>
    <rPh sb="41" eb="43">
      <t>セイレイ</t>
    </rPh>
    <rPh sb="43" eb="44">
      <t>ダイ</t>
    </rPh>
    <rPh sb="47" eb="48">
      <t>ゴウ</t>
    </rPh>
    <phoneticPr fontId="21"/>
  </si>
  <si>
    <t>相続税又は贈与税の災害により被害を受けた場合の減免措置の適用対象に，動産等の価値の10分の1以上の被害を受けた者を追加した。</t>
    <rPh sb="0" eb="3">
      <t>ソウゾクゼイ</t>
    </rPh>
    <rPh sb="3" eb="4">
      <t>マタ</t>
    </rPh>
    <rPh sb="5" eb="8">
      <t>ゾウヨゼイ</t>
    </rPh>
    <rPh sb="9" eb="11">
      <t>サイガイ</t>
    </rPh>
    <rPh sb="14" eb="16">
      <t>ヒガイ</t>
    </rPh>
    <rPh sb="17" eb="18">
      <t>ウ</t>
    </rPh>
    <rPh sb="20" eb="22">
      <t>バアイ</t>
    </rPh>
    <rPh sb="23" eb="25">
      <t>ゲンメン</t>
    </rPh>
    <rPh sb="25" eb="27">
      <t>ソチ</t>
    </rPh>
    <rPh sb="28" eb="30">
      <t>テキヨウ</t>
    </rPh>
    <rPh sb="30" eb="32">
      <t>タイショウ</t>
    </rPh>
    <rPh sb="34" eb="36">
      <t>ドウサン</t>
    </rPh>
    <rPh sb="36" eb="37">
      <t>トウ</t>
    </rPh>
    <rPh sb="38" eb="40">
      <t>カチ</t>
    </rPh>
    <rPh sb="43" eb="44">
      <t>ブン</t>
    </rPh>
    <rPh sb="46" eb="48">
      <t>イジョウ</t>
    </rPh>
    <rPh sb="49" eb="51">
      <t>ヒガイ</t>
    </rPh>
    <rPh sb="52" eb="53">
      <t>ウ</t>
    </rPh>
    <rPh sb="55" eb="56">
      <t>モノ</t>
    </rPh>
    <rPh sb="57" eb="59">
      <t>ツイカ</t>
    </rPh>
    <phoneticPr fontId="21"/>
  </si>
  <si>
    <t>①－24</t>
    <phoneticPr fontId="21"/>
  </si>
  <si>
    <t>寄附金控除の対象となる寄附金又は法人の各事業年度の所得の金額の計算上損金の額に算入する寄附金を指定する件（大蔵省告示第58号）</t>
    <rPh sb="0" eb="3">
      <t>キフキン</t>
    </rPh>
    <rPh sb="3" eb="5">
      <t>コウジョ</t>
    </rPh>
    <rPh sb="6" eb="8">
      <t>タイショウ</t>
    </rPh>
    <rPh sb="11" eb="14">
      <t>キフキン</t>
    </rPh>
    <rPh sb="14" eb="15">
      <t>マタ</t>
    </rPh>
    <rPh sb="16" eb="18">
      <t>ホウジン</t>
    </rPh>
    <rPh sb="19" eb="22">
      <t>カクジギョウ</t>
    </rPh>
    <rPh sb="22" eb="24">
      <t>ネンド</t>
    </rPh>
    <rPh sb="25" eb="27">
      <t>ショトク</t>
    </rPh>
    <rPh sb="28" eb="29">
      <t>キン</t>
    </rPh>
    <rPh sb="29" eb="30">
      <t>ガク</t>
    </rPh>
    <rPh sb="31" eb="34">
      <t>ケイサンジョウ</t>
    </rPh>
    <rPh sb="34" eb="36">
      <t>ソンキン</t>
    </rPh>
    <rPh sb="37" eb="38">
      <t>ガク</t>
    </rPh>
    <rPh sb="39" eb="41">
      <t>サンニュウ</t>
    </rPh>
    <rPh sb="43" eb="46">
      <t>キフキン</t>
    </rPh>
    <rPh sb="47" eb="49">
      <t>シテイ</t>
    </rPh>
    <rPh sb="51" eb="52">
      <t>ケン</t>
    </rPh>
    <rPh sb="53" eb="56">
      <t>オオクラショウ</t>
    </rPh>
    <rPh sb="56" eb="58">
      <t>コクジ</t>
    </rPh>
    <rPh sb="58" eb="59">
      <t>ダイ</t>
    </rPh>
    <rPh sb="61" eb="62">
      <t>ゴウ</t>
    </rPh>
    <phoneticPr fontId="21"/>
  </si>
  <si>
    <t>①－19</t>
    <phoneticPr fontId="21"/>
  </si>
  <si>
    <t>阪神・淡路大震災の被災者等に係る国税関係法律の臨時特例に関する法律第29号第1項の規定により相当な損害を受けた地域を指定する件（大蔵省告示第59号）</t>
    <rPh sb="0" eb="2">
      <t>ハンシン</t>
    </rPh>
    <rPh sb="3" eb="5">
      <t>アワジ</t>
    </rPh>
    <rPh sb="5" eb="8">
      <t>ダイシンサイ</t>
    </rPh>
    <rPh sb="9" eb="11">
      <t>ヒサイ</t>
    </rPh>
    <rPh sb="11" eb="12">
      <t>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3" eb="34">
      <t>ダイ</t>
    </rPh>
    <rPh sb="36" eb="37">
      <t>ゴウ</t>
    </rPh>
    <rPh sb="37" eb="38">
      <t>ダイ</t>
    </rPh>
    <rPh sb="39" eb="40">
      <t>コウ</t>
    </rPh>
    <rPh sb="41" eb="43">
      <t>キテイ</t>
    </rPh>
    <rPh sb="46" eb="48">
      <t>ソウトウ</t>
    </rPh>
    <rPh sb="49" eb="51">
      <t>ソンガイ</t>
    </rPh>
    <rPh sb="52" eb="53">
      <t>ウ</t>
    </rPh>
    <rPh sb="55" eb="57">
      <t>チイキ</t>
    </rPh>
    <rPh sb="58" eb="60">
      <t>シテイ</t>
    </rPh>
    <rPh sb="62" eb="63">
      <t>ケン</t>
    </rPh>
    <rPh sb="64" eb="67">
      <t>オオクラショウ</t>
    </rPh>
    <rPh sb="67" eb="69">
      <t>コクジ</t>
    </rPh>
    <rPh sb="69" eb="70">
      <t>ダイ</t>
    </rPh>
    <rPh sb="72" eb="73">
      <t>ゴウ</t>
    </rPh>
    <phoneticPr fontId="21"/>
  </si>
  <si>
    <t>上記法律の一部改正に伴い，相続税・贈与税における特定土地等・特定株式等に係る課税価格の計算の特例の要件となる指定地域の指定。</t>
    <rPh sb="0" eb="2">
      <t>ジョウキ</t>
    </rPh>
    <rPh sb="2" eb="4">
      <t>ホウリツ</t>
    </rPh>
    <rPh sb="5" eb="7">
      <t>イチブ</t>
    </rPh>
    <rPh sb="7" eb="9">
      <t>カイセイ</t>
    </rPh>
    <rPh sb="10" eb="11">
      <t>トモナ</t>
    </rPh>
    <rPh sb="13" eb="16">
      <t>ソウゾクゼイ</t>
    </rPh>
    <rPh sb="17" eb="20">
      <t>ゾウヨゼイ</t>
    </rPh>
    <rPh sb="24" eb="26">
      <t>トクテイ</t>
    </rPh>
    <rPh sb="26" eb="28">
      <t>トチ</t>
    </rPh>
    <rPh sb="28" eb="29">
      <t>トウ</t>
    </rPh>
    <rPh sb="30" eb="32">
      <t>トクテイ</t>
    </rPh>
    <rPh sb="32" eb="34">
      <t>カブシキ</t>
    </rPh>
    <rPh sb="34" eb="35">
      <t>トウ</t>
    </rPh>
    <rPh sb="36" eb="37">
      <t>カカ</t>
    </rPh>
    <rPh sb="38" eb="39">
      <t>カ</t>
    </rPh>
    <rPh sb="39" eb="40">
      <t>ゼイ</t>
    </rPh>
    <rPh sb="40" eb="42">
      <t>カカク</t>
    </rPh>
    <rPh sb="43" eb="45">
      <t>ケイサン</t>
    </rPh>
    <rPh sb="46" eb="48">
      <t>トクレイ</t>
    </rPh>
    <rPh sb="49" eb="51">
      <t>ヨウケン</t>
    </rPh>
    <rPh sb="54" eb="56">
      <t>シテイ</t>
    </rPh>
    <rPh sb="56" eb="58">
      <t>チイキ</t>
    </rPh>
    <rPh sb="59" eb="61">
      <t>シテイ</t>
    </rPh>
    <phoneticPr fontId="21"/>
  </si>
  <si>
    <t>①－22
①－23</t>
    <phoneticPr fontId="21"/>
  </si>
  <si>
    <t>阪神・淡路大震災の被災者等に係る国税関係法律の臨時特例に関する法律第39条第1項の規定に基づき国税庁長官が定める日を定める件（国税庁告示第3号）</t>
    <rPh sb="0" eb="2">
      <t>ハンシン</t>
    </rPh>
    <rPh sb="3" eb="5">
      <t>アワジ</t>
    </rPh>
    <rPh sb="5" eb="8">
      <t>ダイシンサイ</t>
    </rPh>
    <rPh sb="9" eb="12">
      <t>ヒサイシャ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3" eb="34">
      <t>ダイ</t>
    </rPh>
    <rPh sb="36" eb="37">
      <t>ジョウ</t>
    </rPh>
    <rPh sb="37" eb="38">
      <t>ダイ</t>
    </rPh>
    <rPh sb="39" eb="40">
      <t>コウ</t>
    </rPh>
    <rPh sb="41" eb="43">
      <t>キテイ</t>
    </rPh>
    <rPh sb="44" eb="45">
      <t>モト</t>
    </rPh>
    <rPh sb="47" eb="49">
      <t>コクゼイ</t>
    </rPh>
    <rPh sb="49" eb="50">
      <t>チョウ</t>
    </rPh>
    <rPh sb="50" eb="52">
      <t>チョウカン</t>
    </rPh>
    <rPh sb="53" eb="54">
      <t>サダ</t>
    </rPh>
    <rPh sb="56" eb="57">
      <t>ヒ</t>
    </rPh>
    <rPh sb="58" eb="59">
      <t>サダ</t>
    </rPh>
    <rPh sb="61" eb="62">
      <t>ケン</t>
    </rPh>
    <rPh sb="63" eb="65">
      <t>コクゼイ</t>
    </rPh>
    <rPh sb="65" eb="66">
      <t>チョウ</t>
    </rPh>
    <rPh sb="66" eb="68">
      <t>コクジ</t>
    </rPh>
    <rPh sb="68" eb="69">
      <t>ダイ</t>
    </rPh>
    <rPh sb="70" eb="71">
      <t>ゴウ</t>
    </rPh>
    <phoneticPr fontId="21"/>
  </si>
  <si>
    <t>消費税に係る課税事業者選択届出書等の提出に係る特例の指定日を平7.5.31（又は申請により税務署長の定めた日）と定めたもの。</t>
    <rPh sb="0" eb="3">
      <t>ショウヒゼイ</t>
    </rPh>
    <rPh sb="4" eb="5">
      <t>カカ</t>
    </rPh>
    <rPh sb="6" eb="7">
      <t>カ</t>
    </rPh>
    <rPh sb="7" eb="8">
      <t>ゼイ</t>
    </rPh>
    <rPh sb="8" eb="10">
      <t>ジギョウ</t>
    </rPh>
    <rPh sb="10" eb="11">
      <t>シャ</t>
    </rPh>
    <rPh sb="11" eb="13">
      <t>センタク</t>
    </rPh>
    <rPh sb="13" eb="16">
      <t>トドケデショ</t>
    </rPh>
    <rPh sb="16" eb="17">
      <t>トウ</t>
    </rPh>
    <rPh sb="18" eb="20">
      <t>テイシュツ</t>
    </rPh>
    <rPh sb="21" eb="22">
      <t>カカ</t>
    </rPh>
    <rPh sb="23" eb="25">
      <t>トクレイ</t>
    </rPh>
    <rPh sb="26" eb="28">
      <t>シテイ</t>
    </rPh>
    <rPh sb="28" eb="29">
      <t>ビ</t>
    </rPh>
    <rPh sb="30" eb="31">
      <t>ヘイ</t>
    </rPh>
    <rPh sb="38" eb="39">
      <t>マタ</t>
    </rPh>
    <rPh sb="40" eb="42">
      <t>シンセイ</t>
    </rPh>
    <rPh sb="45" eb="47">
      <t>ゼイム</t>
    </rPh>
    <rPh sb="47" eb="49">
      <t>ショチョウ</t>
    </rPh>
    <rPh sb="50" eb="51">
      <t>サダ</t>
    </rPh>
    <rPh sb="53" eb="54">
      <t>ヒ</t>
    </rPh>
    <rPh sb="56" eb="57">
      <t>サダ</t>
    </rPh>
    <phoneticPr fontId="21"/>
  </si>
  <si>
    <t>①－21</t>
    <phoneticPr fontId="21"/>
  </si>
  <si>
    <t>阪神・淡路大震災の被災者等に係る国税関係法律の臨時特例に関する法律施行令の規定に基づき，建設大臣が定める方法を定める件（建設省告示第843号）</t>
    <rPh sb="0" eb="2">
      <t>ハンシン</t>
    </rPh>
    <rPh sb="3" eb="5">
      <t>アワジ</t>
    </rPh>
    <rPh sb="5" eb="8">
      <t>ダイシンサイ</t>
    </rPh>
    <rPh sb="9" eb="12">
      <t>ヒサイシャ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3" eb="35">
      <t>セコウ</t>
    </rPh>
    <rPh sb="35" eb="36">
      <t>レイ</t>
    </rPh>
    <rPh sb="37" eb="39">
      <t>キテイ</t>
    </rPh>
    <rPh sb="40" eb="41">
      <t>モト</t>
    </rPh>
    <rPh sb="44" eb="46">
      <t>ケンセツ</t>
    </rPh>
    <rPh sb="46" eb="48">
      <t>ダイジン</t>
    </rPh>
    <rPh sb="49" eb="50">
      <t>サダ</t>
    </rPh>
    <rPh sb="52" eb="53">
      <t>ホウ</t>
    </rPh>
    <rPh sb="53" eb="54">
      <t>ホウ</t>
    </rPh>
    <rPh sb="55" eb="56">
      <t>サダ</t>
    </rPh>
    <rPh sb="58" eb="59">
      <t>ケン</t>
    </rPh>
    <rPh sb="60" eb="63">
      <t>ケンセツショウ</t>
    </rPh>
    <rPh sb="63" eb="65">
      <t>コクジ</t>
    </rPh>
    <rPh sb="65" eb="66">
      <t>ダイ</t>
    </rPh>
    <rPh sb="69" eb="70">
      <t>ゴウ</t>
    </rPh>
    <phoneticPr fontId="21"/>
  </si>
  <si>
    <t>被災者向け優良賃貸住宅の家賃要件について，施行令第9条第2項第4号及び第15条第2項第4号の規定に基づき建設大臣の定める方法を定めたもの。</t>
    <rPh sb="0" eb="3">
      <t>ヒサイシャ</t>
    </rPh>
    <rPh sb="3" eb="4">
      <t>ム</t>
    </rPh>
    <rPh sb="5" eb="7">
      <t>ユウリョウ</t>
    </rPh>
    <rPh sb="7" eb="9">
      <t>チンタイ</t>
    </rPh>
    <rPh sb="9" eb="11">
      <t>ジュウタク</t>
    </rPh>
    <rPh sb="12" eb="14">
      <t>ヤチン</t>
    </rPh>
    <rPh sb="14" eb="16">
      <t>ヨウケン</t>
    </rPh>
    <rPh sb="21" eb="23">
      <t>セコウ</t>
    </rPh>
    <rPh sb="23" eb="24">
      <t>レイ</t>
    </rPh>
    <rPh sb="24" eb="25">
      <t>ダイ</t>
    </rPh>
    <rPh sb="26" eb="27">
      <t>ジョウ</t>
    </rPh>
    <rPh sb="27" eb="28">
      <t>ダイ</t>
    </rPh>
    <rPh sb="29" eb="30">
      <t>コウ</t>
    </rPh>
    <rPh sb="30" eb="31">
      <t>ダイ</t>
    </rPh>
    <rPh sb="32" eb="33">
      <t>ゴウ</t>
    </rPh>
    <rPh sb="33" eb="34">
      <t>オヨ</t>
    </rPh>
    <rPh sb="35" eb="36">
      <t>ダイ</t>
    </rPh>
    <rPh sb="38" eb="39">
      <t>ジョウ</t>
    </rPh>
    <rPh sb="39" eb="40">
      <t>ダイ</t>
    </rPh>
    <rPh sb="41" eb="42">
      <t>コウ</t>
    </rPh>
    <rPh sb="42" eb="43">
      <t>ダイ</t>
    </rPh>
    <rPh sb="44" eb="45">
      <t>ゴウ</t>
    </rPh>
    <rPh sb="46" eb="48">
      <t>キテイ</t>
    </rPh>
    <rPh sb="49" eb="50">
      <t>モト</t>
    </rPh>
    <rPh sb="52" eb="54">
      <t>ケンセツ</t>
    </rPh>
    <rPh sb="54" eb="56">
      <t>ダイジン</t>
    </rPh>
    <rPh sb="57" eb="58">
      <t>サダ</t>
    </rPh>
    <rPh sb="60" eb="61">
      <t>ホウ</t>
    </rPh>
    <rPh sb="61" eb="62">
      <t>ホウ</t>
    </rPh>
    <rPh sb="63" eb="64">
      <t>サダ</t>
    </rPh>
    <phoneticPr fontId="21"/>
  </si>
  <si>
    <t>①－13</t>
    <phoneticPr fontId="21"/>
  </si>
  <si>
    <t>地方税法の一部改正（法律第48号）</t>
    <rPh sb="0" eb="3">
      <t>チホウゼイ</t>
    </rPh>
    <rPh sb="3" eb="4">
      <t>ホウ</t>
    </rPh>
    <rPh sb="5" eb="7">
      <t>イチブ</t>
    </rPh>
    <rPh sb="7" eb="9">
      <t>カイセイ</t>
    </rPh>
    <rPh sb="10" eb="12">
      <t>ホウリツ</t>
    </rPh>
    <rPh sb="12" eb="13">
      <t>ダイ</t>
    </rPh>
    <rPh sb="15" eb="16">
      <t>ゴウ</t>
    </rPh>
    <phoneticPr fontId="21"/>
  </si>
  <si>
    <t>○道府県民税及び市町村民税関係
・財形住宅（年金）貯蓄の不適格払出に係る特例
・確定優良住宅地等予定地の譲渡に係る期間延長
○事業税における中間申告書提出の特例
○不動産取得税・特別土地保有税における被災市
　街地復興土地区画整理事業に係る非課税措置
○固定資産税及び都市計画税関係
・被災住宅用地の特例
・代替家屋・償却資産の特例</t>
    <rPh sb="1" eb="2">
      <t>ドウ</t>
    </rPh>
    <rPh sb="2" eb="3">
      <t>フ</t>
    </rPh>
    <rPh sb="3" eb="6">
      <t>ケンミンゼイ</t>
    </rPh>
    <rPh sb="6" eb="7">
      <t>オヨ</t>
    </rPh>
    <rPh sb="8" eb="10">
      <t>シチョウ</t>
    </rPh>
    <rPh sb="10" eb="11">
      <t>ソン</t>
    </rPh>
    <rPh sb="11" eb="12">
      <t>ミン</t>
    </rPh>
    <rPh sb="12" eb="13">
      <t>ゼイ</t>
    </rPh>
    <rPh sb="13" eb="15">
      <t>カンケイ</t>
    </rPh>
    <rPh sb="17" eb="19">
      <t>ザイケイ</t>
    </rPh>
    <rPh sb="19" eb="21">
      <t>ジュウタク</t>
    </rPh>
    <rPh sb="22" eb="24">
      <t>ネンキン</t>
    </rPh>
    <rPh sb="25" eb="27">
      <t>チョチク</t>
    </rPh>
    <rPh sb="28" eb="31">
      <t>フテキカク</t>
    </rPh>
    <rPh sb="31" eb="33">
      <t>ハライダシ</t>
    </rPh>
    <rPh sb="34" eb="35">
      <t>カカ</t>
    </rPh>
    <rPh sb="36" eb="38">
      <t>トクレイ</t>
    </rPh>
    <rPh sb="40" eb="42">
      <t>カクテイ</t>
    </rPh>
    <rPh sb="42" eb="44">
      <t>ユウリョウ</t>
    </rPh>
    <rPh sb="44" eb="46">
      <t>ジュウタク</t>
    </rPh>
    <rPh sb="46" eb="47">
      <t>チ</t>
    </rPh>
    <rPh sb="47" eb="48">
      <t>トウ</t>
    </rPh>
    <rPh sb="48" eb="51">
      <t>ヨテイチ</t>
    </rPh>
    <rPh sb="52" eb="54">
      <t>ジョウト</t>
    </rPh>
    <rPh sb="55" eb="56">
      <t>カカ</t>
    </rPh>
    <rPh sb="57" eb="59">
      <t>キカン</t>
    </rPh>
    <rPh sb="59" eb="61">
      <t>エンチョウ</t>
    </rPh>
    <rPh sb="63" eb="66">
      <t>ジギョウゼイ</t>
    </rPh>
    <rPh sb="70" eb="72">
      <t>チュウカン</t>
    </rPh>
    <rPh sb="72" eb="75">
      <t>シンコクショ</t>
    </rPh>
    <rPh sb="75" eb="77">
      <t>テイシュツ</t>
    </rPh>
    <rPh sb="78" eb="80">
      <t>トクレイ</t>
    </rPh>
    <rPh sb="82" eb="85">
      <t>フドウサン</t>
    </rPh>
    <rPh sb="85" eb="87">
      <t>シュトク</t>
    </rPh>
    <rPh sb="87" eb="88">
      <t>ゼイ</t>
    </rPh>
    <rPh sb="89" eb="91">
      <t>トクベツ</t>
    </rPh>
    <rPh sb="91" eb="93">
      <t>トチ</t>
    </rPh>
    <rPh sb="93" eb="96">
      <t>ホユウゼイ</t>
    </rPh>
    <rPh sb="100" eb="102">
      <t>ヒサイ</t>
    </rPh>
    <rPh sb="107" eb="109">
      <t>フッコウ</t>
    </rPh>
    <rPh sb="109" eb="111">
      <t>トチ</t>
    </rPh>
    <rPh sb="111" eb="113">
      <t>クカク</t>
    </rPh>
    <rPh sb="113" eb="115">
      <t>セイリ</t>
    </rPh>
    <rPh sb="115" eb="117">
      <t>ジギョウ</t>
    </rPh>
    <rPh sb="118" eb="119">
      <t>カカ</t>
    </rPh>
    <rPh sb="120" eb="123">
      <t>ヒカゼイ</t>
    </rPh>
    <rPh sb="123" eb="125">
      <t>ソチ</t>
    </rPh>
    <rPh sb="127" eb="129">
      <t>コテイ</t>
    </rPh>
    <rPh sb="129" eb="132">
      <t>シサンゼイ</t>
    </rPh>
    <rPh sb="132" eb="133">
      <t>オヨ</t>
    </rPh>
    <rPh sb="134" eb="136">
      <t>トシ</t>
    </rPh>
    <rPh sb="136" eb="138">
      <t>ケイカク</t>
    </rPh>
    <rPh sb="138" eb="139">
      <t>ゼイ</t>
    </rPh>
    <rPh sb="139" eb="141">
      <t>カンケイ</t>
    </rPh>
    <rPh sb="143" eb="145">
      <t>ヒサイ</t>
    </rPh>
    <rPh sb="145" eb="147">
      <t>ジュウタク</t>
    </rPh>
    <rPh sb="147" eb="149">
      <t>ヨウチ</t>
    </rPh>
    <rPh sb="150" eb="152">
      <t>トクレイ</t>
    </rPh>
    <rPh sb="154" eb="156">
      <t>ダイタイ</t>
    </rPh>
    <rPh sb="156" eb="158">
      <t>カオク</t>
    </rPh>
    <rPh sb="159" eb="161">
      <t>ショウキャク</t>
    </rPh>
    <rPh sb="161" eb="163">
      <t>シサン</t>
    </rPh>
    <rPh sb="164" eb="166">
      <t>トクレイ</t>
    </rPh>
    <phoneticPr fontId="21"/>
  </si>
  <si>
    <t xml:space="preserve">
④－ 2
③－ 3
④－ 4
④－ 6
③－18
③－15
③－10</t>
    <phoneticPr fontId="21"/>
  </si>
  <si>
    <t xml:space="preserve"> 7. 5.16</t>
    <phoneticPr fontId="21"/>
  </si>
  <si>
    <t>阪神・淡路大震災に係る固定資産税の減免措置の取扱いに関する疑義について（7.4.27神戸市長照会に対する自治省税務局長回答）</t>
    <rPh sb="0" eb="2">
      <t>ハンシン</t>
    </rPh>
    <rPh sb="3" eb="5">
      <t>アワジ</t>
    </rPh>
    <rPh sb="5" eb="8">
      <t>ダイシンサイ</t>
    </rPh>
    <rPh sb="9" eb="10">
      <t>カカ</t>
    </rPh>
    <rPh sb="11" eb="13">
      <t>コテイ</t>
    </rPh>
    <rPh sb="13" eb="16">
      <t>シサンゼイ</t>
    </rPh>
    <rPh sb="17" eb="19">
      <t>ゲンメン</t>
    </rPh>
    <rPh sb="19" eb="21">
      <t>ソチ</t>
    </rPh>
    <rPh sb="22" eb="24">
      <t>トリアツカ</t>
    </rPh>
    <rPh sb="26" eb="27">
      <t>カン</t>
    </rPh>
    <rPh sb="29" eb="31">
      <t>ギギ</t>
    </rPh>
    <rPh sb="42" eb="46">
      <t>コウベシチョウ</t>
    </rPh>
    <rPh sb="46" eb="48">
      <t>ショウカイ</t>
    </rPh>
    <rPh sb="49" eb="50">
      <t>タイ</t>
    </rPh>
    <rPh sb="52" eb="55">
      <t>ジチショウ</t>
    </rPh>
    <rPh sb="55" eb="57">
      <t>ゼイム</t>
    </rPh>
    <rPh sb="57" eb="59">
      <t>キョクチョウ</t>
    </rPh>
    <rPh sb="59" eb="61">
      <t>カイトウ</t>
    </rPh>
    <phoneticPr fontId="21"/>
  </si>
  <si>
    <t>面的な被害が大きく，その結果著しく利用の制約を受けた土地について固定資産税を最大限15％程度，一部損壊のあった家屋について固定資産税を10％程度減免することが地方税法第367条等の趣旨に反しないと解して差し支えないとの回答。</t>
    <rPh sb="0" eb="2">
      <t>メンテキ</t>
    </rPh>
    <rPh sb="3" eb="5">
      <t>ヒガイ</t>
    </rPh>
    <rPh sb="6" eb="7">
      <t>オオ</t>
    </rPh>
    <rPh sb="12" eb="14">
      <t>ケッカ</t>
    </rPh>
    <rPh sb="14" eb="15">
      <t>イチジル</t>
    </rPh>
    <rPh sb="17" eb="19">
      <t>リヨウ</t>
    </rPh>
    <rPh sb="20" eb="22">
      <t>セイヤク</t>
    </rPh>
    <rPh sb="23" eb="24">
      <t>ウ</t>
    </rPh>
    <rPh sb="26" eb="28">
      <t>トチ</t>
    </rPh>
    <rPh sb="32" eb="34">
      <t>コテイ</t>
    </rPh>
    <rPh sb="34" eb="37">
      <t>シサンゼイ</t>
    </rPh>
    <rPh sb="38" eb="41">
      <t>サイダイゲン</t>
    </rPh>
    <rPh sb="44" eb="46">
      <t>テイド</t>
    </rPh>
    <rPh sb="47" eb="49">
      <t>イチブ</t>
    </rPh>
    <rPh sb="49" eb="51">
      <t>ソンカイ</t>
    </rPh>
    <rPh sb="55" eb="57">
      <t>カオク</t>
    </rPh>
    <rPh sb="61" eb="63">
      <t>コテイ</t>
    </rPh>
    <rPh sb="63" eb="66">
      <t>シサンゼイ</t>
    </rPh>
    <rPh sb="70" eb="72">
      <t>テイド</t>
    </rPh>
    <rPh sb="72" eb="74">
      <t>ゲンメン</t>
    </rPh>
    <rPh sb="79" eb="82">
      <t>チホウゼイ</t>
    </rPh>
    <rPh sb="82" eb="83">
      <t>ホウ</t>
    </rPh>
    <rPh sb="83" eb="84">
      <t>ダイ</t>
    </rPh>
    <rPh sb="87" eb="88">
      <t>ジョウ</t>
    </rPh>
    <rPh sb="88" eb="89">
      <t>トウ</t>
    </rPh>
    <rPh sb="90" eb="92">
      <t>シュシ</t>
    </rPh>
    <rPh sb="93" eb="94">
      <t>ハン</t>
    </rPh>
    <rPh sb="98" eb="99">
      <t>カイ</t>
    </rPh>
    <rPh sb="101" eb="102">
      <t>サ</t>
    </rPh>
    <rPh sb="103" eb="104">
      <t>ツカ</t>
    </rPh>
    <rPh sb="109" eb="111">
      <t>カイトウ</t>
    </rPh>
    <phoneticPr fontId="21"/>
  </si>
  <si>
    <t>③－ 8</t>
    <phoneticPr fontId="21"/>
  </si>
  <si>
    <t>阪神・淡路大震災の被害者に係る固定資産税の減免措置の取扱いについて（自治固第24号。兵庫県総務部長宛自治省固定資産税課長）</t>
    <rPh sb="0" eb="2">
      <t>ハンシン</t>
    </rPh>
    <rPh sb="3" eb="5">
      <t>アワジ</t>
    </rPh>
    <rPh sb="5" eb="8">
      <t>ダイシンサイ</t>
    </rPh>
    <rPh sb="9" eb="12">
      <t>ヒガイシャ</t>
    </rPh>
    <rPh sb="13" eb="14">
      <t>カカ</t>
    </rPh>
    <rPh sb="15" eb="17">
      <t>コテイ</t>
    </rPh>
    <rPh sb="17" eb="19">
      <t>シサン</t>
    </rPh>
    <rPh sb="19" eb="20">
      <t>ゼイ</t>
    </rPh>
    <rPh sb="21" eb="23">
      <t>ゲンメン</t>
    </rPh>
    <rPh sb="23" eb="25">
      <t>ソチ</t>
    </rPh>
    <rPh sb="26" eb="28">
      <t>トリアツカ</t>
    </rPh>
    <rPh sb="34" eb="36">
      <t>ジチ</t>
    </rPh>
    <rPh sb="36" eb="37">
      <t>コ</t>
    </rPh>
    <rPh sb="37" eb="38">
      <t>ダイ</t>
    </rPh>
    <rPh sb="40" eb="41">
      <t>ゴウ</t>
    </rPh>
    <rPh sb="42" eb="45">
      <t>ヒョウゴケン</t>
    </rPh>
    <rPh sb="45" eb="47">
      <t>ソウム</t>
    </rPh>
    <rPh sb="47" eb="49">
      <t>ブチョウ</t>
    </rPh>
    <rPh sb="49" eb="50">
      <t>アテ</t>
    </rPh>
    <rPh sb="50" eb="53">
      <t>ジチショウ</t>
    </rPh>
    <rPh sb="53" eb="55">
      <t>コテイ</t>
    </rPh>
    <rPh sb="55" eb="58">
      <t>シサンゼイ</t>
    </rPh>
    <rPh sb="58" eb="60">
      <t>カチョウ</t>
    </rPh>
    <phoneticPr fontId="21"/>
  </si>
  <si>
    <t>神戸市長照会に対する上記回答を関係市町周知等のため兵庫県に通知。</t>
    <rPh sb="0" eb="4">
      <t>コウベシチョウ</t>
    </rPh>
    <rPh sb="4" eb="6">
      <t>ショウカイ</t>
    </rPh>
    <rPh sb="7" eb="8">
      <t>タイ</t>
    </rPh>
    <rPh sb="10" eb="12">
      <t>ジョウキ</t>
    </rPh>
    <rPh sb="12" eb="14">
      <t>カイトウ</t>
    </rPh>
    <rPh sb="15" eb="17">
      <t>カンケイ</t>
    </rPh>
    <rPh sb="17" eb="19">
      <t>シチョウ</t>
    </rPh>
    <rPh sb="19" eb="21">
      <t>シュウチ</t>
    </rPh>
    <rPh sb="21" eb="22">
      <t>トウ</t>
    </rPh>
    <rPh sb="25" eb="28">
      <t>ヒョウゴケン</t>
    </rPh>
    <rPh sb="29" eb="31">
      <t>ツウチ</t>
    </rPh>
    <phoneticPr fontId="21"/>
  </si>
  <si>
    <t>①－ 8</t>
    <phoneticPr fontId="21"/>
  </si>
  <si>
    <t xml:space="preserve"> 7.12.15</t>
    <phoneticPr fontId="21"/>
  </si>
  <si>
    <t>特別交付税に関する省令の一部改正（自治省令第35号）</t>
    <rPh sb="0" eb="2">
      <t>トクベツ</t>
    </rPh>
    <rPh sb="2" eb="5">
      <t>コウフゼイ</t>
    </rPh>
    <rPh sb="6" eb="7">
      <t>カン</t>
    </rPh>
    <rPh sb="9" eb="11">
      <t>ショウレイ</t>
    </rPh>
    <rPh sb="12" eb="14">
      <t>イチブ</t>
    </rPh>
    <rPh sb="14" eb="16">
      <t>カイセイ</t>
    </rPh>
    <rPh sb="17" eb="20">
      <t>ジチショウ</t>
    </rPh>
    <rPh sb="20" eb="21">
      <t>レイ</t>
    </rPh>
    <rPh sb="21" eb="22">
      <t>ダイ</t>
    </rPh>
    <rPh sb="24" eb="25">
      <t>ゴウ</t>
    </rPh>
    <phoneticPr fontId="21"/>
  </si>
  <si>
    <t>地方税等の減免等に係る歳入欠かん等債の元利償還金について，府県は80％，市町村は75％（いずれも従来は57％）（ただし，固定資産税の減免のうち損害の程度が100分の3以上10分の2未満の家屋又は損害の程度が10分の2未満の農地若しくは宅地に係るものに係る歳入欠かん等債の元利償還金については，37.5％（従来なし））を特別交付税により措置する旨を規定。</t>
    <rPh sb="0" eb="3">
      <t>チホウゼイ</t>
    </rPh>
    <rPh sb="3" eb="4">
      <t>トウ</t>
    </rPh>
    <rPh sb="5" eb="7">
      <t>ゲンメン</t>
    </rPh>
    <rPh sb="7" eb="8">
      <t>トウ</t>
    </rPh>
    <rPh sb="9" eb="10">
      <t>カカ</t>
    </rPh>
    <rPh sb="11" eb="13">
      <t>サイニュウ</t>
    </rPh>
    <rPh sb="13" eb="14">
      <t>ケツ</t>
    </rPh>
    <rPh sb="16" eb="17">
      <t>トウ</t>
    </rPh>
    <rPh sb="17" eb="18">
      <t>サイ</t>
    </rPh>
    <rPh sb="19" eb="21">
      <t>ガンリ</t>
    </rPh>
    <rPh sb="21" eb="24">
      <t>ショウカンキン</t>
    </rPh>
    <rPh sb="29" eb="31">
      <t>フケン</t>
    </rPh>
    <rPh sb="36" eb="38">
      <t>シチョウ</t>
    </rPh>
    <rPh sb="38" eb="39">
      <t>ソン</t>
    </rPh>
    <rPh sb="48" eb="50">
      <t>ジュウライ</t>
    </rPh>
    <rPh sb="60" eb="62">
      <t>コテイ</t>
    </rPh>
    <rPh sb="62" eb="65">
      <t>シサンゼイ</t>
    </rPh>
    <rPh sb="66" eb="68">
      <t>ゲンメン</t>
    </rPh>
    <rPh sb="71" eb="73">
      <t>ソンガイ</t>
    </rPh>
    <rPh sb="74" eb="76">
      <t>テイド</t>
    </rPh>
    <rPh sb="80" eb="81">
      <t>ブン</t>
    </rPh>
    <rPh sb="83" eb="85">
      <t>イジョウ</t>
    </rPh>
    <rPh sb="87" eb="88">
      <t>ブン</t>
    </rPh>
    <rPh sb="90" eb="92">
      <t>ミマン</t>
    </rPh>
    <rPh sb="93" eb="95">
      <t>カオク</t>
    </rPh>
    <rPh sb="95" eb="96">
      <t>マタ</t>
    </rPh>
    <rPh sb="97" eb="99">
      <t>ソンガイ</t>
    </rPh>
    <rPh sb="100" eb="102">
      <t>テイド</t>
    </rPh>
    <rPh sb="105" eb="106">
      <t>ブン</t>
    </rPh>
    <rPh sb="108" eb="110">
      <t>ミマン</t>
    </rPh>
    <rPh sb="111" eb="113">
      <t>ノウチ</t>
    </rPh>
    <rPh sb="113" eb="114">
      <t>モ</t>
    </rPh>
    <rPh sb="117" eb="119">
      <t>タクチ</t>
    </rPh>
    <rPh sb="120" eb="121">
      <t>カカ</t>
    </rPh>
    <rPh sb="125" eb="126">
      <t>カカ</t>
    </rPh>
    <rPh sb="127" eb="129">
      <t>サイニュウ</t>
    </rPh>
    <rPh sb="129" eb="130">
      <t>ケツ</t>
    </rPh>
    <rPh sb="132" eb="133">
      <t>トウ</t>
    </rPh>
    <rPh sb="133" eb="134">
      <t>サイ</t>
    </rPh>
    <rPh sb="135" eb="137">
      <t>ガンリ</t>
    </rPh>
    <rPh sb="137" eb="140">
      <t>ショウカンキン</t>
    </rPh>
    <rPh sb="152" eb="154">
      <t>ジュウライ</t>
    </rPh>
    <rPh sb="159" eb="161">
      <t>トクベツ</t>
    </rPh>
    <rPh sb="161" eb="164">
      <t>コウフゼイ</t>
    </rPh>
    <rPh sb="167" eb="169">
      <t>ソチ</t>
    </rPh>
    <rPh sb="171" eb="172">
      <t>ムネ</t>
    </rPh>
    <rPh sb="173" eb="175">
      <t>キテイ</t>
    </rPh>
    <phoneticPr fontId="21"/>
  </si>
  <si>
    <t xml:space="preserve"> 8. 3.29</t>
    <phoneticPr fontId="21"/>
  </si>
  <si>
    <t>阪神・淡路大震災に係る不動産取得税，固定資産税及び事業所税の取扱いについて（自治税企第5号。税務局長）</t>
    <rPh sb="0" eb="2">
      <t>ハンシン</t>
    </rPh>
    <rPh sb="3" eb="5">
      <t>アワジ</t>
    </rPh>
    <rPh sb="5" eb="8">
      <t>ダイシンサイ</t>
    </rPh>
    <rPh sb="9" eb="10">
      <t>カカ</t>
    </rPh>
    <rPh sb="11" eb="14">
      <t>フドウサン</t>
    </rPh>
    <rPh sb="14" eb="16">
      <t>シュトク</t>
    </rPh>
    <rPh sb="16" eb="17">
      <t>ゼイ</t>
    </rPh>
    <rPh sb="18" eb="20">
      <t>コテイ</t>
    </rPh>
    <rPh sb="20" eb="23">
      <t>シサンゼイ</t>
    </rPh>
    <rPh sb="23" eb="24">
      <t>オヨ</t>
    </rPh>
    <rPh sb="25" eb="28">
      <t>ジギョウショ</t>
    </rPh>
    <rPh sb="28" eb="29">
      <t>ゼイ</t>
    </rPh>
    <rPh sb="30" eb="32">
      <t>トリアツカ</t>
    </rPh>
    <rPh sb="38" eb="40">
      <t>ジチ</t>
    </rPh>
    <rPh sb="40" eb="41">
      <t>ゼイ</t>
    </rPh>
    <rPh sb="41" eb="42">
      <t>クワダ</t>
    </rPh>
    <rPh sb="42" eb="43">
      <t>ダイ</t>
    </rPh>
    <rPh sb="44" eb="45">
      <t>ゴウ</t>
    </rPh>
    <rPh sb="46" eb="48">
      <t>ゼイム</t>
    </rPh>
    <rPh sb="48" eb="50">
      <t>キョクチョウ</t>
    </rPh>
    <phoneticPr fontId="21"/>
  </si>
  <si>
    <t xml:space="preserve">
③－20等
④－6
④－7,9</t>
    <rPh sb="5" eb="6">
      <t>トウ</t>
    </rPh>
    <phoneticPr fontId="21"/>
  </si>
  <si>
    <t>輸入の促進及び対内投資事業の円滑化に関する臨時措置法第15条の地方公共団体の特例を定める省令（自治省令第12号）</t>
    <rPh sb="0" eb="2">
      <t>ユニュウ</t>
    </rPh>
    <rPh sb="3" eb="5">
      <t>ソクシン</t>
    </rPh>
    <rPh sb="5" eb="6">
      <t>オヨ</t>
    </rPh>
    <rPh sb="7" eb="9">
      <t>タイナイ</t>
    </rPh>
    <rPh sb="9" eb="11">
      <t>トウシ</t>
    </rPh>
    <rPh sb="11" eb="13">
      <t>ジギョウ</t>
    </rPh>
    <rPh sb="14" eb="17">
      <t>エンカツカ</t>
    </rPh>
    <rPh sb="18" eb="19">
      <t>カン</t>
    </rPh>
    <rPh sb="21" eb="23">
      <t>リンジ</t>
    </rPh>
    <rPh sb="23" eb="26">
      <t>ソチホウ</t>
    </rPh>
    <rPh sb="26" eb="27">
      <t>ダイ</t>
    </rPh>
    <rPh sb="29" eb="30">
      <t>ジョウ</t>
    </rPh>
    <rPh sb="31" eb="33">
      <t>チホウ</t>
    </rPh>
    <rPh sb="33" eb="35">
      <t>コウキョウ</t>
    </rPh>
    <rPh sb="35" eb="37">
      <t>ダンタイ</t>
    </rPh>
    <rPh sb="38" eb="40">
      <t>トクレイ</t>
    </rPh>
    <rPh sb="41" eb="42">
      <t>サダ</t>
    </rPh>
    <rPh sb="44" eb="46">
      <t>ショウレイ</t>
    </rPh>
    <rPh sb="47" eb="49">
      <t>ジチ</t>
    </rPh>
    <rPh sb="49" eb="51">
      <t>ショウレイ</t>
    </rPh>
    <rPh sb="51" eb="52">
      <t>ダイ</t>
    </rPh>
    <rPh sb="54" eb="55">
      <t>ゴウ</t>
    </rPh>
    <phoneticPr fontId="21"/>
  </si>
  <si>
    <t>ＦＡＺ法の規定に基づく固定資産税等の不均一課税に対する減収補てん措置の被災地特例</t>
    <rPh sb="3" eb="4">
      <t>ホウ</t>
    </rPh>
    <rPh sb="5" eb="7">
      <t>キテイ</t>
    </rPh>
    <rPh sb="8" eb="9">
      <t>モト</t>
    </rPh>
    <rPh sb="11" eb="13">
      <t>コテイ</t>
    </rPh>
    <rPh sb="13" eb="16">
      <t>シサンゼイ</t>
    </rPh>
    <rPh sb="16" eb="17">
      <t>トウ</t>
    </rPh>
    <rPh sb="18" eb="21">
      <t>フキンイツ</t>
    </rPh>
    <rPh sb="21" eb="22">
      <t>カ</t>
    </rPh>
    <rPh sb="22" eb="23">
      <t>ゼイ</t>
    </rPh>
    <rPh sb="24" eb="25">
      <t>タイ</t>
    </rPh>
    <rPh sb="27" eb="28">
      <t>ゲン</t>
    </rPh>
    <rPh sb="28" eb="29">
      <t>シュウ</t>
    </rPh>
    <rPh sb="29" eb="30">
      <t>ホ</t>
    </rPh>
    <rPh sb="32" eb="34">
      <t>ソチ</t>
    </rPh>
    <rPh sb="35" eb="37">
      <t>ヒサイ</t>
    </rPh>
    <rPh sb="37" eb="38">
      <t>チ</t>
    </rPh>
    <rPh sb="38" eb="40">
      <t>トクレイ</t>
    </rPh>
    <phoneticPr fontId="21"/>
  </si>
  <si>
    <t xml:space="preserve"> 8. 3.31</t>
    <phoneticPr fontId="21"/>
  </si>
  <si>
    <t>租税特別措置法の一部改正（法律第17号）</t>
    <rPh sb="0" eb="2">
      <t>ソゼイ</t>
    </rPh>
    <rPh sb="2" eb="4">
      <t>トクベツ</t>
    </rPh>
    <rPh sb="4" eb="7">
      <t>ソチホウ</t>
    </rPh>
    <rPh sb="8" eb="10">
      <t>イチブ</t>
    </rPh>
    <rPh sb="10" eb="12">
      <t>カイセイ</t>
    </rPh>
    <rPh sb="13" eb="15">
      <t>ホウリツ</t>
    </rPh>
    <rPh sb="15" eb="16">
      <t>ダイ</t>
    </rPh>
    <rPh sb="18" eb="19">
      <t>ゴウ</t>
    </rPh>
    <phoneticPr fontId="21"/>
  </si>
  <si>
    <t>相続開始前3年以内に取得した土地等についての相続税の課税価格の計算の特例の廃止に伴い，当該特例の適用除外を定めた震災特例を廃止。</t>
    <rPh sb="0" eb="2">
      <t>ソウゾク</t>
    </rPh>
    <rPh sb="2" eb="4">
      <t>カイシ</t>
    </rPh>
    <rPh sb="4" eb="5">
      <t>マエ</t>
    </rPh>
    <rPh sb="6" eb="7">
      <t>ネン</t>
    </rPh>
    <rPh sb="7" eb="9">
      <t>イナイ</t>
    </rPh>
    <rPh sb="10" eb="12">
      <t>シュトク</t>
    </rPh>
    <rPh sb="14" eb="16">
      <t>トチ</t>
    </rPh>
    <rPh sb="16" eb="17">
      <t>トウ</t>
    </rPh>
    <rPh sb="22" eb="25">
      <t>ソウゾクゼイ</t>
    </rPh>
    <rPh sb="26" eb="27">
      <t>カ</t>
    </rPh>
    <rPh sb="27" eb="28">
      <t>ゼイ</t>
    </rPh>
    <rPh sb="28" eb="30">
      <t>カカク</t>
    </rPh>
    <rPh sb="31" eb="33">
      <t>ケイサン</t>
    </rPh>
    <rPh sb="34" eb="36">
      <t>トクレイ</t>
    </rPh>
    <rPh sb="37" eb="39">
      <t>ハイシ</t>
    </rPh>
    <rPh sb="40" eb="41">
      <t>トモナ</t>
    </rPh>
    <rPh sb="43" eb="45">
      <t>トウガイ</t>
    </rPh>
    <rPh sb="45" eb="47">
      <t>トクレイ</t>
    </rPh>
    <rPh sb="48" eb="50">
      <t>テキヨウ</t>
    </rPh>
    <rPh sb="50" eb="52">
      <t>ジョガイ</t>
    </rPh>
    <rPh sb="53" eb="54">
      <t>サダ</t>
    </rPh>
    <rPh sb="56" eb="58">
      <t>シンサイ</t>
    </rPh>
    <rPh sb="58" eb="60">
      <t>トクレイ</t>
    </rPh>
    <rPh sb="61" eb="63">
      <t>ハイシ</t>
    </rPh>
    <phoneticPr fontId="21"/>
  </si>
  <si>
    <t>①－23</t>
    <phoneticPr fontId="21"/>
  </si>
  <si>
    <t>地方税法の一部改正（法律第12号）</t>
    <rPh sb="0" eb="3">
      <t>チホウゼイ</t>
    </rPh>
    <rPh sb="3" eb="4">
      <t>ホウ</t>
    </rPh>
    <rPh sb="5" eb="7">
      <t>イチブ</t>
    </rPh>
    <rPh sb="7" eb="9">
      <t>カイセイ</t>
    </rPh>
    <rPh sb="10" eb="12">
      <t>ホウリツ</t>
    </rPh>
    <rPh sb="12" eb="13">
      <t>ダイ</t>
    </rPh>
    <rPh sb="15" eb="16">
      <t>ゴウ</t>
    </rPh>
    <phoneticPr fontId="21"/>
  </si>
  <si>
    <t xml:space="preserve">
③－12
③－13
③－14</t>
    <phoneticPr fontId="21"/>
  </si>
  <si>
    <t xml:space="preserve"> 9. 3.28</t>
    <phoneticPr fontId="21"/>
  </si>
  <si>
    <t>③－15
③－10
③－20</t>
    <phoneticPr fontId="21"/>
  </si>
  <si>
    <t>阪神・淡路大震災に係る不動産取得税及び事業所税の取扱いについて</t>
    <rPh sb="0" eb="2">
      <t>ハンシン</t>
    </rPh>
    <rPh sb="3" eb="5">
      <t>アワジ</t>
    </rPh>
    <rPh sb="5" eb="8">
      <t>ダイシンサイ</t>
    </rPh>
    <rPh sb="9" eb="10">
      <t>カカ</t>
    </rPh>
    <rPh sb="11" eb="14">
      <t>フドウサン</t>
    </rPh>
    <rPh sb="14" eb="16">
      <t>シュトク</t>
    </rPh>
    <rPh sb="16" eb="17">
      <t>ゼイ</t>
    </rPh>
    <rPh sb="17" eb="18">
      <t>オヨ</t>
    </rPh>
    <rPh sb="19" eb="22">
      <t>ジギョウショ</t>
    </rPh>
    <rPh sb="22" eb="23">
      <t>ゼイ</t>
    </rPh>
    <rPh sb="24" eb="26">
      <t>トリアツカ</t>
    </rPh>
    <phoneticPr fontId="21"/>
  </si>
  <si>
    <t>不動産取得税及び事業所税において平成9年度においても平成8年度と同様の減免措置を講ずることが適当である。</t>
    <rPh sb="0" eb="3">
      <t>フドウサン</t>
    </rPh>
    <rPh sb="3" eb="5">
      <t>シュトク</t>
    </rPh>
    <rPh sb="5" eb="6">
      <t>ゼイ</t>
    </rPh>
    <rPh sb="6" eb="7">
      <t>オヨ</t>
    </rPh>
    <rPh sb="8" eb="11">
      <t>ジギョウショ</t>
    </rPh>
    <rPh sb="11" eb="12">
      <t>ゼイ</t>
    </rPh>
    <rPh sb="16" eb="18">
      <t>ヘイセイ</t>
    </rPh>
    <rPh sb="19" eb="21">
      <t>ネンド</t>
    </rPh>
    <rPh sb="26" eb="28">
      <t>ヘイセイ</t>
    </rPh>
    <rPh sb="29" eb="31">
      <t>ネンド</t>
    </rPh>
    <rPh sb="32" eb="34">
      <t>ドウヨウ</t>
    </rPh>
    <rPh sb="35" eb="37">
      <t>ゲンメン</t>
    </rPh>
    <rPh sb="37" eb="39">
      <t>ソチ</t>
    </rPh>
    <rPh sb="40" eb="41">
      <t>コウ</t>
    </rPh>
    <rPh sb="46" eb="48">
      <t>テキトウ</t>
    </rPh>
    <phoneticPr fontId="21"/>
  </si>
  <si>
    <t>③－20
④－ 8</t>
    <phoneticPr fontId="21"/>
  </si>
  <si>
    <t xml:space="preserve"> 9. 3.31</t>
    <phoneticPr fontId="21"/>
  </si>
  <si>
    <t>阪神・淡路大震災の被災者等に係る国税関係法律の臨時特例に関する法律の一部改正（法律第22号）</t>
    <rPh sb="0" eb="2">
      <t>ハンシン</t>
    </rPh>
    <rPh sb="3" eb="5">
      <t>アワジ</t>
    </rPh>
    <rPh sb="5" eb="8">
      <t>ダイシンサイ</t>
    </rPh>
    <rPh sb="9" eb="12">
      <t>ヒサイシャ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4" eb="36">
      <t>イチブ</t>
    </rPh>
    <rPh sb="36" eb="38">
      <t>カイセイ</t>
    </rPh>
    <rPh sb="39" eb="41">
      <t>ホウリツ</t>
    </rPh>
    <rPh sb="41" eb="42">
      <t>ダイ</t>
    </rPh>
    <rPh sb="44" eb="45">
      <t>ゴウ</t>
    </rPh>
    <phoneticPr fontId="21"/>
  </si>
  <si>
    <t>①－ 5
①－15</t>
    <phoneticPr fontId="21"/>
  </si>
  <si>
    <t>10. 3.30</t>
    <phoneticPr fontId="21"/>
  </si>
  <si>
    <t>輸入の促進及び対内投資事業の円滑化に関する臨時措置法第15条の地方公共団体の特例を定める省令の一部改正（自治省令第10号）</t>
    <rPh sb="0" eb="2">
      <t>ユニュウ</t>
    </rPh>
    <rPh sb="3" eb="5">
      <t>ソクシン</t>
    </rPh>
    <rPh sb="5" eb="6">
      <t>オヨ</t>
    </rPh>
    <rPh sb="7" eb="9">
      <t>タイナイ</t>
    </rPh>
    <rPh sb="9" eb="11">
      <t>トウシ</t>
    </rPh>
    <rPh sb="11" eb="13">
      <t>ジギョウ</t>
    </rPh>
    <rPh sb="14" eb="16">
      <t>エンカツ</t>
    </rPh>
    <rPh sb="16" eb="17">
      <t>カ</t>
    </rPh>
    <rPh sb="18" eb="19">
      <t>カン</t>
    </rPh>
    <rPh sb="21" eb="23">
      <t>リンジ</t>
    </rPh>
    <rPh sb="23" eb="26">
      <t>ソチホウ</t>
    </rPh>
    <rPh sb="26" eb="27">
      <t>ダイ</t>
    </rPh>
    <rPh sb="29" eb="30">
      <t>ジョウ</t>
    </rPh>
    <rPh sb="31" eb="33">
      <t>チホウ</t>
    </rPh>
    <rPh sb="33" eb="35">
      <t>コウキョウ</t>
    </rPh>
    <rPh sb="35" eb="37">
      <t>ダンタイ</t>
    </rPh>
    <rPh sb="38" eb="40">
      <t>トクレイ</t>
    </rPh>
    <rPh sb="41" eb="42">
      <t>サダ</t>
    </rPh>
    <rPh sb="44" eb="46">
      <t>ショウレイ</t>
    </rPh>
    <rPh sb="47" eb="49">
      <t>イチブ</t>
    </rPh>
    <rPh sb="49" eb="51">
      <t>カイセイ</t>
    </rPh>
    <rPh sb="52" eb="54">
      <t>ジチ</t>
    </rPh>
    <rPh sb="54" eb="56">
      <t>ショウレイ</t>
    </rPh>
    <rPh sb="56" eb="57">
      <t>ダイ</t>
    </rPh>
    <rPh sb="59" eb="60">
      <t>ゴウ</t>
    </rPh>
    <phoneticPr fontId="21"/>
  </si>
  <si>
    <t>10. 3.31</t>
    <phoneticPr fontId="21"/>
  </si>
  <si>
    <t>阪神・淡路大震災の被災者等に係る国税関係法律の臨時特例に関する法律の一部改正（法律第23号）</t>
    <rPh sb="0" eb="2">
      <t>ハンシン</t>
    </rPh>
    <rPh sb="3" eb="5">
      <t>アワジ</t>
    </rPh>
    <rPh sb="5" eb="8">
      <t>ダイシンサイ</t>
    </rPh>
    <rPh sb="9" eb="12">
      <t>ヒサイシャ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4" eb="36">
      <t>イチブ</t>
    </rPh>
    <rPh sb="36" eb="38">
      <t>カイセイ</t>
    </rPh>
    <rPh sb="39" eb="41">
      <t>ホウリツ</t>
    </rPh>
    <rPh sb="41" eb="42">
      <t>ダイ</t>
    </rPh>
    <rPh sb="44" eb="45">
      <t>ゴウ</t>
    </rPh>
    <phoneticPr fontId="21"/>
  </si>
  <si>
    <t>①－30
①－13
①－18
①－32</t>
    <phoneticPr fontId="21"/>
  </si>
  <si>
    <t>10. 5.29</t>
    <phoneticPr fontId="21"/>
  </si>
  <si>
    <t>阪神・淡路大震災の被災者等に係る国税関係法律の臨時特例に関する法律の一部改正（法律第84号）</t>
    <rPh sb="0" eb="2">
      <t>ハンシン</t>
    </rPh>
    <rPh sb="3" eb="5">
      <t>アワジ</t>
    </rPh>
    <rPh sb="5" eb="8">
      <t>ダイシンサイ</t>
    </rPh>
    <rPh sb="9" eb="11">
      <t>ヒサイ</t>
    </rPh>
    <rPh sb="11" eb="12">
      <t>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4" eb="36">
      <t>イチブ</t>
    </rPh>
    <rPh sb="36" eb="38">
      <t>カイセイ</t>
    </rPh>
    <rPh sb="39" eb="41">
      <t>ホウリツ</t>
    </rPh>
    <rPh sb="41" eb="42">
      <t>ダイ</t>
    </rPh>
    <rPh sb="44" eb="45">
      <t>ゴウ</t>
    </rPh>
    <phoneticPr fontId="21"/>
  </si>
  <si>
    <t>①－ 5</t>
    <phoneticPr fontId="21"/>
  </si>
  <si>
    <t>11. 3.31</t>
    <phoneticPr fontId="21"/>
  </si>
  <si>
    <t>租税特別措置法及び阪神・淡路大震災の被災者等に係る国税関係法律の臨時特例に関する法律の一部改正（法律第9号）</t>
    <rPh sb="0" eb="2">
      <t>ソゼイ</t>
    </rPh>
    <rPh sb="2" eb="4">
      <t>トクベツ</t>
    </rPh>
    <rPh sb="4" eb="7">
      <t>ソチホウ</t>
    </rPh>
    <rPh sb="7" eb="8">
      <t>オヨ</t>
    </rPh>
    <rPh sb="9" eb="11">
      <t>ハンシン</t>
    </rPh>
    <rPh sb="12" eb="14">
      <t>アワジ</t>
    </rPh>
    <rPh sb="14" eb="17">
      <t>ダイシンサイ</t>
    </rPh>
    <rPh sb="18" eb="20">
      <t>ヒサイ</t>
    </rPh>
    <rPh sb="20" eb="21">
      <t>シャ</t>
    </rPh>
    <rPh sb="21" eb="22">
      <t>トウ</t>
    </rPh>
    <rPh sb="23" eb="24">
      <t>カカ</t>
    </rPh>
    <rPh sb="25" eb="27">
      <t>コクゼイ</t>
    </rPh>
    <rPh sb="27" eb="29">
      <t>カンケイ</t>
    </rPh>
    <rPh sb="29" eb="31">
      <t>ホウリツ</t>
    </rPh>
    <rPh sb="32" eb="34">
      <t>リンジ</t>
    </rPh>
    <rPh sb="34" eb="36">
      <t>トクレイ</t>
    </rPh>
    <rPh sb="37" eb="38">
      <t>カン</t>
    </rPh>
    <rPh sb="40" eb="42">
      <t>ホウリツ</t>
    </rPh>
    <rPh sb="43" eb="45">
      <t>イチブ</t>
    </rPh>
    <rPh sb="45" eb="47">
      <t>カイセイ</t>
    </rPh>
    <rPh sb="48" eb="50">
      <t>ホウリツ</t>
    </rPh>
    <rPh sb="50" eb="51">
      <t>ダイ</t>
    </rPh>
    <rPh sb="52" eb="53">
      <t>ゴウ</t>
    </rPh>
    <phoneticPr fontId="21"/>
  </si>
  <si>
    <t>①－10
①－15
①－ 5</t>
    <phoneticPr fontId="21"/>
  </si>
  <si>
    <t>地方税法の一部改正（法律第15号）</t>
    <rPh sb="0" eb="2">
      <t>チホウ</t>
    </rPh>
    <rPh sb="2" eb="4">
      <t>ゼイホウ</t>
    </rPh>
    <rPh sb="5" eb="7">
      <t>イチブ</t>
    </rPh>
    <rPh sb="7" eb="9">
      <t>カイセイ</t>
    </rPh>
    <rPh sb="10" eb="12">
      <t>ホウリツ</t>
    </rPh>
    <rPh sb="12" eb="13">
      <t>ダイ</t>
    </rPh>
    <rPh sb="15" eb="16">
      <t>ゴウ</t>
    </rPh>
    <phoneticPr fontId="21"/>
  </si>
  <si>
    <t>③－10
④－8－2</t>
    <phoneticPr fontId="21"/>
  </si>
  <si>
    <t>12. 3.29</t>
    <phoneticPr fontId="21"/>
  </si>
  <si>
    <t>地方税法の一部改正（法律第4号）</t>
    <rPh sb="0" eb="3">
      <t>チホウゼイ</t>
    </rPh>
    <rPh sb="3" eb="4">
      <t>ホウ</t>
    </rPh>
    <rPh sb="5" eb="7">
      <t>イチブ</t>
    </rPh>
    <rPh sb="7" eb="9">
      <t>カイセイ</t>
    </rPh>
    <rPh sb="10" eb="12">
      <t>ホウリツ</t>
    </rPh>
    <rPh sb="12" eb="13">
      <t>ダイ</t>
    </rPh>
    <rPh sb="14" eb="15">
      <t>ゴウ</t>
    </rPh>
    <phoneticPr fontId="21"/>
  </si>
  <si>
    <t>・被災住宅用地の特例　H12年度 ⇒H17年度
・代替家屋の特例　　　H12.3.31⇒H17.3.31
・不動産取得税の代替家屋に係る課税標準の特例
　　　　　　　　　　　H12.3.31⇒H17.3.31</t>
    <rPh sb="1" eb="3">
      <t>ヒサイ</t>
    </rPh>
    <rPh sb="3" eb="5">
      <t>ジュウタク</t>
    </rPh>
    <rPh sb="5" eb="7">
      <t>ヨウチ</t>
    </rPh>
    <rPh sb="8" eb="10">
      <t>トクレイ</t>
    </rPh>
    <rPh sb="14" eb="16">
      <t>ネンド</t>
    </rPh>
    <rPh sb="21" eb="23">
      <t>ネンド</t>
    </rPh>
    <rPh sb="25" eb="27">
      <t>ダイタイ</t>
    </rPh>
    <rPh sb="27" eb="29">
      <t>カオク</t>
    </rPh>
    <rPh sb="30" eb="32">
      <t>トクレイ</t>
    </rPh>
    <rPh sb="54" eb="57">
      <t>フドウサン</t>
    </rPh>
    <rPh sb="57" eb="59">
      <t>シュトク</t>
    </rPh>
    <rPh sb="59" eb="60">
      <t>ゼイ</t>
    </rPh>
    <rPh sb="61" eb="63">
      <t>ダイタイ</t>
    </rPh>
    <rPh sb="63" eb="65">
      <t>カオク</t>
    </rPh>
    <rPh sb="66" eb="67">
      <t>カカ</t>
    </rPh>
    <rPh sb="68" eb="69">
      <t>カ</t>
    </rPh>
    <rPh sb="69" eb="70">
      <t>ゼイ</t>
    </rPh>
    <rPh sb="70" eb="72">
      <t>ヒョウジュン</t>
    </rPh>
    <rPh sb="73" eb="75">
      <t>トクレイ</t>
    </rPh>
    <phoneticPr fontId="21"/>
  </si>
  <si>
    <t>③－15
③－10
④－8－2</t>
    <phoneticPr fontId="21"/>
  </si>
  <si>
    <t>12. 3.31</t>
    <phoneticPr fontId="21"/>
  </si>
  <si>
    <t>租税特別措置法等の一部改正（法律第13号）</t>
    <rPh sb="0" eb="2">
      <t>ソゼイ</t>
    </rPh>
    <rPh sb="2" eb="4">
      <t>トクベツ</t>
    </rPh>
    <rPh sb="4" eb="7">
      <t>ソチホウ</t>
    </rPh>
    <rPh sb="7" eb="8">
      <t>トウ</t>
    </rPh>
    <rPh sb="9" eb="11">
      <t>イチブ</t>
    </rPh>
    <rPh sb="11" eb="13">
      <t>カイセイ</t>
    </rPh>
    <rPh sb="14" eb="16">
      <t>ホウリツ</t>
    </rPh>
    <rPh sb="16" eb="17">
      <t>ダイ</t>
    </rPh>
    <rPh sb="19" eb="20">
      <t>ゴウ</t>
    </rPh>
    <phoneticPr fontId="21"/>
  </si>
  <si>
    <t>①－19
①－14
①－16
①－10
①－29
①－30
①－32</t>
    <phoneticPr fontId="21"/>
  </si>
  <si>
    <t>14. 3.31</t>
    <phoneticPr fontId="21"/>
  </si>
  <si>
    <t>租税特別措置法等の一部改正（法律第15号）</t>
    <rPh sb="0" eb="2">
      <t>ソゼイ</t>
    </rPh>
    <rPh sb="2" eb="4">
      <t>トクベツ</t>
    </rPh>
    <rPh sb="4" eb="7">
      <t>ソチホウ</t>
    </rPh>
    <rPh sb="7" eb="8">
      <t>トウ</t>
    </rPh>
    <rPh sb="9" eb="11">
      <t>イチブ</t>
    </rPh>
    <rPh sb="11" eb="13">
      <t>カイセイ</t>
    </rPh>
    <rPh sb="14" eb="16">
      <t>ホウリツ</t>
    </rPh>
    <rPh sb="16" eb="17">
      <t>ダイ</t>
    </rPh>
    <rPh sb="19" eb="20">
      <t>ゴウ</t>
    </rPh>
    <phoneticPr fontId="21"/>
  </si>
  <si>
    <t>・被災代替家屋等の特別償却
　　　　　　　　　　　H14.3.31⇒H17.3.31
・特定の事業用資産買換えの場合の課税の特例
　　　　　　　　　　　H14.3.31⇒H17.3.31</t>
    <rPh sb="1" eb="3">
      <t>ヒサイ</t>
    </rPh>
    <rPh sb="3" eb="5">
      <t>ダイタイ</t>
    </rPh>
    <rPh sb="5" eb="7">
      <t>カオク</t>
    </rPh>
    <rPh sb="7" eb="8">
      <t>トウ</t>
    </rPh>
    <rPh sb="9" eb="11">
      <t>トクベツ</t>
    </rPh>
    <rPh sb="11" eb="13">
      <t>ショウキャク</t>
    </rPh>
    <rPh sb="44" eb="46">
      <t>トクテイ</t>
    </rPh>
    <rPh sb="47" eb="50">
      <t>ジギョウヨウ</t>
    </rPh>
    <rPh sb="50" eb="52">
      <t>シサン</t>
    </rPh>
    <rPh sb="52" eb="54">
      <t>カイカ</t>
    </rPh>
    <rPh sb="56" eb="58">
      <t>バアイ</t>
    </rPh>
    <rPh sb="59" eb="60">
      <t>カ</t>
    </rPh>
    <rPh sb="60" eb="61">
      <t>ゼイ</t>
    </rPh>
    <rPh sb="62" eb="64">
      <t>トクレイ</t>
    </rPh>
    <phoneticPr fontId="21"/>
  </si>
  <si>
    <t>①－14
①－16</t>
    <phoneticPr fontId="21"/>
  </si>
  <si>
    <t>16. 3.31</t>
    <phoneticPr fontId="21"/>
  </si>
  <si>
    <t>阪神・淡路大震災の被災者等に係る国税関係法律の臨時特例に関する法律の一部改正（法律第14号）</t>
    <rPh sb="0" eb="2">
      <t>ハンシン</t>
    </rPh>
    <rPh sb="3" eb="5">
      <t>アワジ</t>
    </rPh>
    <rPh sb="5" eb="8">
      <t>ダイシンサイ</t>
    </rPh>
    <rPh sb="9" eb="12">
      <t>ヒサイシャ</t>
    </rPh>
    <rPh sb="12" eb="13">
      <t>トウ</t>
    </rPh>
    <rPh sb="14" eb="15">
      <t>カカ</t>
    </rPh>
    <rPh sb="16" eb="18">
      <t>コクゼイ</t>
    </rPh>
    <rPh sb="18" eb="20">
      <t>カンケイ</t>
    </rPh>
    <rPh sb="20" eb="22">
      <t>ホウリツ</t>
    </rPh>
    <rPh sb="23" eb="25">
      <t>リンジ</t>
    </rPh>
    <rPh sb="25" eb="27">
      <t>トクレイ</t>
    </rPh>
    <rPh sb="28" eb="29">
      <t>カン</t>
    </rPh>
    <rPh sb="31" eb="33">
      <t>ホウリツ</t>
    </rPh>
    <rPh sb="34" eb="36">
      <t>イチブ</t>
    </rPh>
    <rPh sb="36" eb="38">
      <t>カイセイ</t>
    </rPh>
    <rPh sb="39" eb="41">
      <t>ホウリツ</t>
    </rPh>
    <rPh sb="41" eb="42">
      <t>ダイ</t>
    </rPh>
    <rPh sb="44" eb="45">
      <t>ゴウ</t>
    </rPh>
    <phoneticPr fontId="21"/>
  </si>
  <si>
    <t>住宅借入金等を有する場合の所得税額の特別控除の改正に伴う規定の整備。</t>
    <rPh sb="0" eb="2">
      <t>ジュウタク</t>
    </rPh>
    <rPh sb="2" eb="4">
      <t>カリイレ</t>
    </rPh>
    <rPh sb="4" eb="5">
      <t>キン</t>
    </rPh>
    <rPh sb="5" eb="6">
      <t>トウ</t>
    </rPh>
    <rPh sb="7" eb="8">
      <t>ユウ</t>
    </rPh>
    <rPh sb="10" eb="12">
      <t>バアイ</t>
    </rPh>
    <rPh sb="13" eb="16">
      <t>ショトクゼイ</t>
    </rPh>
    <rPh sb="16" eb="17">
      <t>ガク</t>
    </rPh>
    <rPh sb="18" eb="20">
      <t>トクベツ</t>
    </rPh>
    <rPh sb="20" eb="22">
      <t>コウジョ</t>
    </rPh>
    <rPh sb="23" eb="25">
      <t>カイセイ</t>
    </rPh>
    <rPh sb="26" eb="27">
      <t>トモナ</t>
    </rPh>
    <rPh sb="28" eb="30">
      <t>キテイ</t>
    </rPh>
    <rPh sb="31" eb="33">
      <t>セイビ</t>
    </rPh>
    <phoneticPr fontId="21"/>
  </si>
  <si>
    <t>17. 3.25</t>
    <phoneticPr fontId="21"/>
  </si>
  <si>
    <t>地方税法の一部改正
（法律第5号）</t>
    <rPh sb="0" eb="3">
      <t>チホウゼイ</t>
    </rPh>
    <rPh sb="3" eb="4">
      <t>ホウ</t>
    </rPh>
    <rPh sb="5" eb="7">
      <t>イチブ</t>
    </rPh>
    <rPh sb="7" eb="9">
      <t>カイセイ</t>
    </rPh>
    <rPh sb="11" eb="13">
      <t>ホウリツ</t>
    </rPh>
    <rPh sb="13" eb="14">
      <t>ダイ</t>
    </rPh>
    <rPh sb="15" eb="16">
      <t>ゴウ</t>
    </rPh>
    <phoneticPr fontId="21"/>
  </si>
  <si>
    <t>22. 3.31</t>
    <phoneticPr fontId="21"/>
  </si>
  <si>
    <t>地方税法の一部改正
（法律第4号）</t>
    <rPh sb="0" eb="3">
      <t>チホウゼイ</t>
    </rPh>
    <rPh sb="3" eb="4">
      <t>ホウ</t>
    </rPh>
    <rPh sb="5" eb="7">
      <t>イチブ</t>
    </rPh>
    <rPh sb="7" eb="9">
      <t>カイセイ</t>
    </rPh>
    <rPh sb="11" eb="13">
      <t>ホウリツ</t>
    </rPh>
    <rPh sb="13" eb="14">
      <t>ダイ</t>
    </rPh>
    <rPh sb="15" eb="16">
      <t>ゴウ</t>
    </rPh>
    <phoneticPr fontId="21"/>
  </si>
  <si>
    <t>※被災住宅用地の特例の対象物件が，被災市街地復興土地区画整理区域内にある場合の適用期間がH21年度までで打ち切りとなる。
　　　　　　　　　　　↓
条例第53条第５項及び第188条の規定によりH22年度分を軽減する。</t>
    <rPh sb="11" eb="13">
      <t>タイショウ</t>
    </rPh>
    <rPh sb="13" eb="15">
      <t>ブッケン</t>
    </rPh>
    <rPh sb="17" eb="19">
      <t>ヒサイ</t>
    </rPh>
    <rPh sb="19" eb="22">
      <t>シガイチ</t>
    </rPh>
    <rPh sb="22" eb="24">
      <t>フッコウ</t>
    </rPh>
    <rPh sb="24" eb="26">
      <t>トチ</t>
    </rPh>
    <rPh sb="26" eb="28">
      <t>クカク</t>
    </rPh>
    <rPh sb="28" eb="30">
      <t>セイリ</t>
    </rPh>
    <rPh sb="30" eb="32">
      <t>クイキ</t>
    </rPh>
    <rPh sb="32" eb="33">
      <t>ナイ</t>
    </rPh>
    <rPh sb="36" eb="38">
      <t>バアイ</t>
    </rPh>
    <rPh sb="39" eb="41">
      <t>テキヨウ</t>
    </rPh>
    <rPh sb="41" eb="43">
      <t>キカン</t>
    </rPh>
    <rPh sb="47" eb="49">
      <t>ネンド</t>
    </rPh>
    <rPh sb="52" eb="53">
      <t>ウ</t>
    </rPh>
    <rPh sb="54" eb="55">
      <t>キ</t>
    </rPh>
    <rPh sb="74" eb="76">
      <t>ジョウレイ</t>
    </rPh>
    <rPh sb="76" eb="77">
      <t>ダイ</t>
    </rPh>
    <rPh sb="79" eb="80">
      <t>ジョウ</t>
    </rPh>
    <rPh sb="80" eb="81">
      <t>ダイ</t>
    </rPh>
    <rPh sb="82" eb="83">
      <t>コウ</t>
    </rPh>
    <rPh sb="83" eb="84">
      <t>オヨ</t>
    </rPh>
    <rPh sb="85" eb="86">
      <t>ダイ</t>
    </rPh>
    <rPh sb="89" eb="90">
      <t>ジョウ</t>
    </rPh>
    <rPh sb="91" eb="93">
      <t>キテイ</t>
    </rPh>
    <rPh sb="99" eb="101">
      <t>ネンド</t>
    </rPh>
    <rPh sb="101" eb="102">
      <t>ブン</t>
    </rPh>
    <rPh sb="103" eb="105">
      <t>ケイゲン</t>
    </rPh>
    <phoneticPr fontId="21"/>
  </si>
  <si>
    <t>③－15</t>
    <phoneticPr fontId="21"/>
  </si>
  <si>
    <t>○固定資産税及び都市計画税関係
・被災住宅用地・代替資産の特例に係る規定整備
・被災立体交差化施設の代替構築物の特例
・旅客会社等・外貿埠頭公社の承継特例に係る特例</t>
    <rPh sb="1" eb="3">
      <t>コテイ</t>
    </rPh>
    <rPh sb="3" eb="6">
      <t>シサンゼイ</t>
    </rPh>
    <rPh sb="6" eb="7">
      <t>オヨ</t>
    </rPh>
    <rPh sb="8" eb="10">
      <t>トシ</t>
    </rPh>
    <rPh sb="10" eb="12">
      <t>ケイカク</t>
    </rPh>
    <rPh sb="12" eb="13">
      <t>ゼイ</t>
    </rPh>
    <rPh sb="13" eb="15">
      <t>カンケイ</t>
    </rPh>
    <rPh sb="17" eb="19">
      <t>ヒサイ</t>
    </rPh>
    <rPh sb="19" eb="21">
      <t>ジュウタク</t>
    </rPh>
    <rPh sb="21" eb="23">
      <t>ヨウチ</t>
    </rPh>
    <rPh sb="24" eb="26">
      <t>ダイタイ</t>
    </rPh>
    <rPh sb="26" eb="28">
      <t>シサン</t>
    </rPh>
    <rPh sb="29" eb="31">
      <t>トクレイ</t>
    </rPh>
    <rPh sb="32" eb="33">
      <t>カカ</t>
    </rPh>
    <rPh sb="34" eb="36">
      <t>キテイ</t>
    </rPh>
    <rPh sb="36" eb="38">
      <t>セイビ</t>
    </rPh>
    <rPh sb="40" eb="42">
      <t>ヒサイ</t>
    </rPh>
    <rPh sb="42" eb="44">
      <t>リッタイ</t>
    </rPh>
    <rPh sb="44" eb="46">
      <t>コウサ</t>
    </rPh>
    <rPh sb="46" eb="47">
      <t>カ</t>
    </rPh>
    <rPh sb="47" eb="49">
      <t>シセツ</t>
    </rPh>
    <rPh sb="50" eb="52">
      <t>ダイタイ</t>
    </rPh>
    <rPh sb="52" eb="55">
      <t>コウチクブツ</t>
    </rPh>
    <rPh sb="56" eb="58">
      <t>トクレイ</t>
    </rPh>
    <rPh sb="60" eb="62">
      <t>リョカク</t>
    </rPh>
    <rPh sb="62" eb="64">
      <t>カイシャ</t>
    </rPh>
    <rPh sb="64" eb="65">
      <t>トウ</t>
    </rPh>
    <rPh sb="66" eb="67">
      <t>ガイ</t>
    </rPh>
    <rPh sb="67" eb="68">
      <t>ボウ</t>
    </rPh>
    <rPh sb="68" eb="70">
      <t>フトウ</t>
    </rPh>
    <rPh sb="70" eb="72">
      <t>コウシャ</t>
    </rPh>
    <rPh sb="73" eb="75">
      <t>ショウケイ</t>
    </rPh>
    <rPh sb="75" eb="77">
      <t>トクレイ</t>
    </rPh>
    <rPh sb="78" eb="79">
      <t>カカ</t>
    </rPh>
    <rPh sb="80" eb="81">
      <t>トク</t>
    </rPh>
    <rPh sb="81" eb="82">
      <t>レイ</t>
    </rPh>
    <phoneticPr fontId="21"/>
  </si>
  <si>
    <t>※被災住宅用地の特例　H17年度⇒H19年度
※代替家屋の特例　　　H17.3.31⇒H19.3.31
※不動産取得税の代替家屋に係る課税標準の特例
　　　　　　　　　　　H17.3.31⇒H19.3.31
※対象物件が，被災市街地復興土地区画整理区域内にある場合には適用期間は被災住宅用地の特例はH22年度まで，その他はH22.3.31までとなる。</t>
    <rPh sb="14" eb="16">
      <t>ネンド</t>
    </rPh>
    <rPh sb="20" eb="22">
      <t>ネンド</t>
    </rPh>
    <rPh sb="105" eb="107">
      <t>タイショウ</t>
    </rPh>
    <rPh sb="107" eb="109">
      <t>ブッケン</t>
    </rPh>
    <rPh sb="111" eb="113">
      <t>ヒサイ</t>
    </rPh>
    <rPh sb="113" eb="116">
      <t>シガイチ</t>
    </rPh>
    <rPh sb="116" eb="118">
      <t>フッコウ</t>
    </rPh>
    <rPh sb="118" eb="120">
      <t>トチ</t>
    </rPh>
    <rPh sb="120" eb="122">
      <t>クカク</t>
    </rPh>
    <rPh sb="122" eb="124">
      <t>セイリ</t>
    </rPh>
    <rPh sb="124" eb="126">
      <t>クイキ</t>
    </rPh>
    <rPh sb="126" eb="127">
      <t>ナイ</t>
    </rPh>
    <rPh sb="130" eb="132">
      <t>バアイ</t>
    </rPh>
    <rPh sb="134" eb="136">
      <t>テキヨウ</t>
    </rPh>
    <rPh sb="136" eb="138">
      <t>キカン</t>
    </rPh>
    <rPh sb="139" eb="141">
      <t>ヒサイ</t>
    </rPh>
    <rPh sb="141" eb="143">
      <t>ジュウタク</t>
    </rPh>
    <rPh sb="146" eb="148">
      <t>トクレイ</t>
    </rPh>
    <rPh sb="152" eb="154">
      <t>ネンド</t>
    </rPh>
    <rPh sb="159" eb="160">
      <t>タ</t>
    </rPh>
    <phoneticPr fontId="21"/>
  </si>
  <si>
    <t>・公益法人の建物等復旧に係る指定寄附金の申請期限
　　　　　　　　　　　H12.3.31⇒H13.3.31
・被災代替家屋等の特別償却
　　　　　　　　　　　H12.3.31⇒H14.3.31
・特定の事業用資産買換えの場合の課税の特例
　　　　　　　　　　　H12.3.31⇒H14.3.31
・被災居住用財産の敷地に係る譲渡期限の特例
　　　　　　　　　　　H12.3.31⇒H14.3.31
・被災者が新築・取得した建物に係る所有権等の
　保存登記等の免税　　H12.3.31⇒H17.3.31
・被災者等が取得した特定の土地に係る所有権の
　移転登記の免税　　　H12.3.31⇒H17.3,31
・被災者に対する特別貸付に係る消費貸借契約書
　の非課税　　　　　　H12.3.31⇒H17.3.31</t>
    <rPh sb="1" eb="3">
      <t>コウエキ</t>
    </rPh>
    <rPh sb="3" eb="5">
      <t>ホウジン</t>
    </rPh>
    <rPh sb="6" eb="8">
      <t>タテモノ</t>
    </rPh>
    <rPh sb="8" eb="9">
      <t>トウ</t>
    </rPh>
    <rPh sb="9" eb="11">
      <t>フッキュウ</t>
    </rPh>
    <rPh sb="12" eb="13">
      <t>カカ</t>
    </rPh>
    <rPh sb="14" eb="16">
      <t>シテイ</t>
    </rPh>
    <rPh sb="16" eb="19">
      <t>キフキン</t>
    </rPh>
    <rPh sb="20" eb="22">
      <t>シンセイ</t>
    </rPh>
    <rPh sb="22" eb="24">
      <t>キゲン</t>
    </rPh>
    <rPh sb="55" eb="57">
      <t>ヒサイ</t>
    </rPh>
    <rPh sb="57" eb="59">
      <t>ダイタイ</t>
    </rPh>
    <rPh sb="59" eb="61">
      <t>カオク</t>
    </rPh>
    <rPh sb="61" eb="62">
      <t>トウ</t>
    </rPh>
    <rPh sb="63" eb="65">
      <t>トクベツ</t>
    </rPh>
    <rPh sb="65" eb="67">
      <t>ショウキャク</t>
    </rPh>
    <rPh sb="98" eb="100">
      <t>トクテイ</t>
    </rPh>
    <rPh sb="101" eb="104">
      <t>ジギョウヨウ</t>
    </rPh>
    <rPh sb="104" eb="106">
      <t>シサン</t>
    </rPh>
    <rPh sb="106" eb="108">
      <t>カイカ</t>
    </rPh>
    <rPh sb="110" eb="112">
      <t>バアイ</t>
    </rPh>
    <rPh sb="113" eb="114">
      <t>カ</t>
    </rPh>
    <rPh sb="114" eb="115">
      <t>ゼイ</t>
    </rPh>
    <rPh sb="116" eb="118">
      <t>トクレイ</t>
    </rPh>
    <rPh sb="149" eb="151">
      <t>ヒサイ</t>
    </rPh>
    <rPh sb="151" eb="154">
      <t>キョジュウヨウ</t>
    </rPh>
    <rPh sb="154" eb="156">
      <t>ザイサン</t>
    </rPh>
    <rPh sb="157" eb="159">
      <t>シキチ</t>
    </rPh>
    <rPh sb="160" eb="161">
      <t>カカ</t>
    </rPh>
    <rPh sb="162" eb="164">
      <t>ジョウト</t>
    </rPh>
    <rPh sb="164" eb="166">
      <t>キゲン</t>
    </rPh>
    <rPh sb="167" eb="169">
      <t>トクレイ</t>
    </rPh>
    <rPh sb="200" eb="202">
      <t>ヒサイ</t>
    </rPh>
    <rPh sb="202" eb="203">
      <t>シャ</t>
    </rPh>
    <rPh sb="204" eb="206">
      <t>シンチク</t>
    </rPh>
    <rPh sb="207" eb="209">
      <t>シュトク</t>
    </rPh>
    <rPh sb="211" eb="213">
      <t>タテモノ</t>
    </rPh>
    <rPh sb="214" eb="215">
      <t>カカ</t>
    </rPh>
    <rPh sb="216" eb="219">
      <t>ショユウケン</t>
    </rPh>
    <rPh sb="219" eb="220">
      <t>トウ</t>
    </rPh>
    <rPh sb="223" eb="225">
      <t>ホゾン</t>
    </rPh>
    <rPh sb="225" eb="227">
      <t>トウキ</t>
    </rPh>
    <rPh sb="227" eb="228">
      <t>トウ</t>
    </rPh>
    <rPh sb="229" eb="231">
      <t>メンゼイ</t>
    </rPh>
    <rPh sb="252" eb="254">
      <t>ヒサイ</t>
    </rPh>
    <rPh sb="254" eb="255">
      <t>シャ</t>
    </rPh>
    <rPh sb="255" eb="256">
      <t>トウ</t>
    </rPh>
    <rPh sb="257" eb="259">
      <t>シュトク</t>
    </rPh>
    <rPh sb="261" eb="263">
      <t>トクテイ</t>
    </rPh>
    <rPh sb="264" eb="266">
      <t>トチ</t>
    </rPh>
    <rPh sb="267" eb="268">
      <t>カカ</t>
    </rPh>
    <rPh sb="269" eb="272">
      <t>ショユウケン</t>
    </rPh>
    <rPh sb="275" eb="277">
      <t>イテン</t>
    </rPh>
    <rPh sb="277" eb="279">
      <t>トウキ</t>
    </rPh>
    <rPh sb="280" eb="282">
      <t>メンゼイ</t>
    </rPh>
    <rPh sb="304" eb="306">
      <t>ヒサイ</t>
    </rPh>
    <rPh sb="306" eb="307">
      <t>シャ</t>
    </rPh>
    <rPh sb="308" eb="309">
      <t>タイ</t>
    </rPh>
    <rPh sb="311" eb="313">
      <t>トクベツ</t>
    </rPh>
    <rPh sb="313" eb="315">
      <t>カシツケ</t>
    </rPh>
    <rPh sb="316" eb="317">
      <t>カカ</t>
    </rPh>
    <rPh sb="318" eb="320">
      <t>ショウヒ</t>
    </rPh>
    <rPh sb="320" eb="322">
      <t>タイシャク</t>
    </rPh>
    <rPh sb="322" eb="325">
      <t>ケイヤクショ</t>
    </rPh>
    <rPh sb="328" eb="331">
      <t>ヒカゼイ</t>
    </rPh>
    <phoneticPr fontId="21"/>
  </si>
  <si>
    <t>・被災者が取得する一定の共同住宅等の敷地の所有権移転登記に係る登録免許税の免税措置
・被災者向け優良賃貸住宅の割増償却の適用期限(従前10.3.31)の2年延長・耐用年数区分改正
・特定の事業用資産の買換等の場合の課税の特例に係る繰延割合の改正
・特別貸付けに係る印紙税の非課税措置の適用期限(従前10.3.31)の2年延長</t>
    <rPh sb="1" eb="4">
      <t>ヒサイシャ</t>
    </rPh>
    <rPh sb="5" eb="7">
      <t>シュトク</t>
    </rPh>
    <rPh sb="9" eb="11">
      <t>イッテイ</t>
    </rPh>
    <rPh sb="12" eb="14">
      <t>キョウドウ</t>
    </rPh>
    <rPh sb="14" eb="16">
      <t>ジュウタク</t>
    </rPh>
    <rPh sb="16" eb="17">
      <t>トウ</t>
    </rPh>
    <rPh sb="18" eb="20">
      <t>シキチ</t>
    </rPh>
    <rPh sb="24" eb="26">
      <t>イテン</t>
    </rPh>
    <rPh sb="26" eb="28">
      <t>トウキ</t>
    </rPh>
    <rPh sb="29" eb="30">
      <t>カカ</t>
    </rPh>
    <rPh sb="31" eb="33">
      <t>トウロク</t>
    </rPh>
    <rPh sb="33" eb="36">
      <t>メンキョゼイ</t>
    </rPh>
    <rPh sb="37" eb="39">
      <t>メンゼイ</t>
    </rPh>
    <rPh sb="39" eb="41">
      <t>ソチ</t>
    </rPh>
    <rPh sb="43" eb="46">
      <t>ヒサイシャ</t>
    </rPh>
    <rPh sb="46" eb="47">
      <t>ム</t>
    </rPh>
    <rPh sb="48" eb="50">
      <t>ユウリョウ</t>
    </rPh>
    <rPh sb="50" eb="52">
      <t>チンタイ</t>
    </rPh>
    <rPh sb="52" eb="54">
      <t>ジュウタク</t>
    </rPh>
    <rPh sb="55" eb="57">
      <t>ワリマシ</t>
    </rPh>
    <rPh sb="57" eb="59">
      <t>ショウキャク</t>
    </rPh>
    <rPh sb="60" eb="62">
      <t>テキヨウ</t>
    </rPh>
    <rPh sb="62" eb="64">
      <t>キゲン</t>
    </rPh>
    <rPh sb="77" eb="78">
      <t>ネン</t>
    </rPh>
    <rPh sb="78" eb="80">
      <t>エンチョウ</t>
    </rPh>
    <rPh sb="81" eb="83">
      <t>タイヨウ</t>
    </rPh>
    <rPh sb="83" eb="85">
      <t>ネンスウ</t>
    </rPh>
    <rPh sb="85" eb="87">
      <t>クブン</t>
    </rPh>
    <rPh sb="87" eb="89">
      <t>カイセイ</t>
    </rPh>
    <rPh sb="91" eb="93">
      <t>トクテイ</t>
    </rPh>
    <rPh sb="94" eb="97">
      <t>ジギョウヨウ</t>
    </rPh>
    <rPh sb="97" eb="99">
      <t>シサン</t>
    </rPh>
    <rPh sb="100" eb="102">
      <t>カイカ</t>
    </rPh>
    <rPh sb="102" eb="103">
      <t>トウ</t>
    </rPh>
    <rPh sb="104" eb="106">
      <t>バアイ</t>
    </rPh>
    <rPh sb="107" eb="108">
      <t>カ</t>
    </rPh>
    <rPh sb="108" eb="109">
      <t>ゼイ</t>
    </rPh>
    <rPh sb="110" eb="112">
      <t>トクレイ</t>
    </rPh>
    <rPh sb="113" eb="114">
      <t>カカ</t>
    </rPh>
    <rPh sb="115" eb="117">
      <t>クリノベ</t>
    </rPh>
    <rPh sb="117" eb="119">
      <t>ワリアイ</t>
    </rPh>
    <rPh sb="120" eb="122">
      <t>カイセイ</t>
    </rPh>
    <rPh sb="124" eb="126">
      <t>トクベツ</t>
    </rPh>
    <rPh sb="126" eb="128">
      <t>カシツ</t>
    </rPh>
    <rPh sb="130" eb="131">
      <t>カカ</t>
    </rPh>
    <rPh sb="132" eb="135">
      <t>インシゼイ</t>
    </rPh>
    <rPh sb="136" eb="139">
      <t>ヒカゼイ</t>
    </rPh>
    <rPh sb="139" eb="141">
      <t>ソチ</t>
    </rPh>
    <rPh sb="142" eb="144">
      <t>テキヨウ</t>
    </rPh>
    <rPh sb="159" eb="160">
      <t>ネン</t>
    </rPh>
    <rPh sb="160" eb="162">
      <t>エンチョウ</t>
    </rPh>
    <phoneticPr fontId="21"/>
  </si>
  <si>
    <t>・総合経済対策による所得税の住宅取得促進税制の拡充に伴う改正</t>
    <phoneticPr fontId="21"/>
  </si>
  <si>
    <t>・雑損控除・被災事業用資産の損失の必要経費算入の特例
・災害減免法・災害減免通達における所得要件の改正
・関税関係の納期限等の延長</t>
    <rPh sb="1" eb="3">
      <t>ザッソン</t>
    </rPh>
    <rPh sb="3" eb="5">
      <t>コウジョ</t>
    </rPh>
    <rPh sb="6" eb="8">
      <t>ヒサイ</t>
    </rPh>
    <rPh sb="8" eb="10">
      <t>ジギョウ</t>
    </rPh>
    <rPh sb="10" eb="11">
      <t>ヨウ</t>
    </rPh>
    <rPh sb="11" eb="13">
      <t>シサン</t>
    </rPh>
    <rPh sb="14" eb="16">
      <t>ソンシツ</t>
    </rPh>
    <rPh sb="17" eb="19">
      <t>ヒツヨウ</t>
    </rPh>
    <rPh sb="19" eb="21">
      <t>ケイヒ</t>
    </rPh>
    <rPh sb="21" eb="23">
      <t>サンニュウ</t>
    </rPh>
    <rPh sb="24" eb="26">
      <t>トクレイ</t>
    </rPh>
    <rPh sb="28" eb="30">
      <t>サイガイ</t>
    </rPh>
    <rPh sb="30" eb="32">
      <t>ゲンメン</t>
    </rPh>
    <rPh sb="32" eb="33">
      <t>ホウ</t>
    </rPh>
    <rPh sb="34" eb="36">
      <t>サイガイ</t>
    </rPh>
    <rPh sb="36" eb="38">
      <t>ゲンメン</t>
    </rPh>
    <rPh sb="38" eb="40">
      <t>ツウタツ</t>
    </rPh>
    <rPh sb="44" eb="46">
      <t>ショトク</t>
    </rPh>
    <rPh sb="46" eb="48">
      <t>ヨウケン</t>
    </rPh>
    <rPh sb="49" eb="51">
      <t>カイセイ</t>
    </rPh>
    <rPh sb="53" eb="55">
      <t>カンゼイ</t>
    </rPh>
    <rPh sb="55" eb="57">
      <t>カンケイ</t>
    </rPh>
    <rPh sb="58" eb="61">
      <t>ノウキゲン</t>
    </rPh>
    <rPh sb="61" eb="62">
      <t>トウ</t>
    </rPh>
    <rPh sb="63" eb="65">
      <t>エンチョウ</t>
    </rPh>
    <phoneticPr fontId="21"/>
  </si>
  <si>
    <t>・所得税における雑損控除・被災事業用資産等の損失額の必要経費算入の特例
・被災者に係る関税の納期限の延長等の関税法等の特例</t>
    <rPh sb="1" eb="4">
      <t>ショトクゼイ</t>
    </rPh>
    <rPh sb="8" eb="10">
      <t>ザッソン</t>
    </rPh>
    <rPh sb="10" eb="12">
      <t>コウジョ</t>
    </rPh>
    <rPh sb="13" eb="15">
      <t>ヒサイ</t>
    </rPh>
    <rPh sb="15" eb="18">
      <t>ジギョウヨウ</t>
    </rPh>
    <rPh sb="18" eb="19">
      <t>シ</t>
    </rPh>
    <rPh sb="19" eb="20">
      <t>サン</t>
    </rPh>
    <rPh sb="20" eb="21">
      <t>ナド</t>
    </rPh>
    <rPh sb="22" eb="24">
      <t>ソンシツ</t>
    </rPh>
    <rPh sb="24" eb="25">
      <t>ガク</t>
    </rPh>
    <rPh sb="26" eb="28">
      <t>ヒツヨウ</t>
    </rPh>
    <rPh sb="28" eb="30">
      <t>ケイヒ</t>
    </rPh>
    <rPh sb="30" eb="32">
      <t>サンニュウ</t>
    </rPh>
    <rPh sb="33" eb="35">
      <t>トクレイ</t>
    </rPh>
    <rPh sb="37" eb="40">
      <t>ヒサイシャ</t>
    </rPh>
    <rPh sb="41" eb="42">
      <t>カカ</t>
    </rPh>
    <rPh sb="43" eb="45">
      <t>カンゼイ</t>
    </rPh>
    <rPh sb="46" eb="49">
      <t>ノウキゲン</t>
    </rPh>
    <rPh sb="50" eb="53">
      <t>エンチョウナド</t>
    </rPh>
    <rPh sb="54" eb="55">
      <t>セキ</t>
    </rPh>
    <rPh sb="55" eb="56">
      <t>ゼイ</t>
    </rPh>
    <rPh sb="56" eb="57">
      <t>ホウ</t>
    </rPh>
    <rPh sb="57" eb="58">
      <t>トウ</t>
    </rPh>
    <rPh sb="59" eb="61">
      <t>トクレイ</t>
    </rPh>
    <phoneticPr fontId="21"/>
  </si>
  <si>
    <t>災害損失特別勘定（修繕費用の見積り）への繰入，復旧費，被災者用仮説住宅の設置費用及び災害見舞金等の取扱いを定めた｡</t>
    <rPh sb="0" eb="2">
      <t>サイガイ</t>
    </rPh>
    <rPh sb="2" eb="4">
      <t>ソンシツ</t>
    </rPh>
    <rPh sb="4" eb="6">
      <t>トクベツ</t>
    </rPh>
    <rPh sb="6" eb="8">
      <t>カンジョウ</t>
    </rPh>
    <rPh sb="9" eb="11">
      <t>シュウゼン</t>
    </rPh>
    <rPh sb="11" eb="13">
      <t>ヒヨウ</t>
    </rPh>
    <rPh sb="14" eb="16">
      <t>ミツモ</t>
    </rPh>
    <rPh sb="20" eb="22">
      <t>クリイレ</t>
    </rPh>
    <rPh sb="23" eb="25">
      <t>フッキュウ</t>
    </rPh>
    <rPh sb="25" eb="26">
      <t>ヒ</t>
    </rPh>
    <rPh sb="27" eb="31">
      <t>ヒサイシャヨウ</t>
    </rPh>
    <rPh sb="31" eb="33">
      <t>カセツ</t>
    </rPh>
    <rPh sb="33" eb="35">
      <t>ジュウタク</t>
    </rPh>
    <rPh sb="36" eb="38">
      <t>セッチ</t>
    </rPh>
    <rPh sb="38" eb="40">
      <t>ヒヨウ</t>
    </rPh>
    <rPh sb="40" eb="41">
      <t>オヨ</t>
    </rPh>
    <rPh sb="42" eb="44">
      <t>サイガイ</t>
    </rPh>
    <rPh sb="44" eb="46">
      <t>ミマイ</t>
    </rPh>
    <rPh sb="46" eb="47">
      <t>キン</t>
    </rPh>
    <rPh sb="47" eb="48">
      <t>トウ</t>
    </rPh>
    <rPh sb="49" eb="51">
      <t>トリアツカ</t>
    </rPh>
    <rPh sb="53" eb="54">
      <t>サダ</t>
    </rPh>
    <phoneticPr fontId="21"/>
  </si>
  <si>
    <t>国税における上記国税庁告示第2号による期日指定を踏まえ,期限延長の措置について適切な運営を期するよう通知。</t>
    <rPh sb="0" eb="2">
      <t>コクゼイ</t>
    </rPh>
    <rPh sb="6" eb="8">
      <t>ジョウキ</t>
    </rPh>
    <rPh sb="8" eb="10">
      <t>コクゼイ</t>
    </rPh>
    <rPh sb="10" eb="11">
      <t>チョウ</t>
    </rPh>
    <rPh sb="11" eb="13">
      <t>コクジ</t>
    </rPh>
    <rPh sb="13" eb="14">
      <t>ダイ</t>
    </rPh>
    <rPh sb="15" eb="16">
      <t>ゴウ</t>
    </rPh>
    <rPh sb="19" eb="21">
      <t>キジツ</t>
    </rPh>
    <rPh sb="21" eb="23">
      <t>シテイ</t>
    </rPh>
    <rPh sb="24" eb="25">
      <t>フ</t>
    </rPh>
    <rPh sb="28" eb="30">
      <t>キゲン</t>
    </rPh>
    <rPh sb="30" eb="32">
      <t>エンチョウ</t>
    </rPh>
    <rPh sb="33" eb="35">
      <t>ソチ</t>
    </rPh>
    <rPh sb="39" eb="41">
      <t>テキセツ</t>
    </rPh>
    <rPh sb="42" eb="44">
      <t>ウンエイ</t>
    </rPh>
    <rPh sb="45" eb="46">
      <t>キ</t>
    </rPh>
    <rPh sb="50" eb="52">
      <t>ツウチ</t>
    </rPh>
    <phoneticPr fontId="21"/>
  </si>
  <si>
    <t>特定寄附金又は指定寄附金の指定
・震災により滅失等した公益法人等の建物も復旧のために公益法人等が募集する寄附金
・震災による被災者の救済のため全国社会福祉協議会が募集する寄附金</t>
    <rPh sb="0" eb="2">
      <t>トクテイ</t>
    </rPh>
    <rPh sb="2" eb="5">
      <t>キフキン</t>
    </rPh>
    <rPh sb="5" eb="6">
      <t>マタ</t>
    </rPh>
    <rPh sb="7" eb="9">
      <t>シテイ</t>
    </rPh>
    <rPh sb="9" eb="12">
      <t>キフキン</t>
    </rPh>
    <rPh sb="13" eb="15">
      <t>シテイ</t>
    </rPh>
    <rPh sb="17" eb="19">
      <t>シンサイ</t>
    </rPh>
    <rPh sb="22" eb="24">
      <t>メッシツ</t>
    </rPh>
    <rPh sb="24" eb="25">
      <t>トウ</t>
    </rPh>
    <rPh sb="27" eb="29">
      <t>コウエキ</t>
    </rPh>
    <rPh sb="29" eb="31">
      <t>ホウジン</t>
    </rPh>
    <rPh sb="31" eb="32">
      <t>トウ</t>
    </rPh>
    <rPh sb="33" eb="35">
      <t>タテモノ</t>
    </rPh>
    <rPh sb="36" eb="38">
      <t>フッキュウ</t>
    </rPh>
    <rPh sb="42" eb="44">
      <t>コウエキ</t>
    </rPh>
    <rPh sb="44" eb="46">
      <t>ホウジン</t>
    </rPh>
    <rPh sb="46" eb="47">
      <t>トウ</t>
    </rPh>
    <rPh sb="48" eb="50">
      <t>ボシュウ</t>
    </rPh>
    <rPh sb="52" eb="55">
      <t>キフキン</t>
    </rPh>
    <rPh sb="57" eb="59">
      <t>シンサイ</t>
    </rPh>
    <rPh sb="62" eb="65">
      <t>ヒサイシャ</t>
    </rPh>
    <rPh sb="66" eb="68">
      <t>キュウサイ</t>
    </rPh>
    <rPh sb="71" eb="73">
      <t>ゼンコク</t>
    </rPh>
    <rPh sb="73" eb="75">
      <t>シャカイ</t>
    </rPh>
    <rPh sb="75" eb="77">
      <t>フクシ</t>
    </rPh>
    <rPh sb="77" eb="78">
      <t>キョウ</t>
    </rPh>
    <rPh sb="78" eb="80">
      <t>ギカイ</t>
    </rPh>
    <rPh sb="81" eb="83">
      <t>ボシュウ</t>
    </rPh>
    <rPh sb="85" eb="88">
      <t>キフキン</t>
    </rPh>
    <phoneticPr fontId="21"/>
  </si>
  <si>
    <t>下記事項について通知
・不動産取得税・事業所税…平成8年度においても同様の措置を講ずることが適当である。
・固定資産税…平成8年度においても復旧状況等を踏まえて適宜減免することが適当である。</t>
    <rPh sb="0" eb="2">
      <t>カキ</t>
    </rPh>
    <rPh sb="2" eb="4">
      <t>ジコウ</t>
    </rPh>
    <rPh sb="8" eb="10">
      <t>ツウチ</t>
    </rPh>
    <rPh sb="12" eb="15">
      <t>フドウサン</t>
    </rPh>
    <rPh sb="15" eb="17">
      <t>シュトク</t>
    </rPh>
    <rPh sb="17" eb="18">
      <t>ゼイ</t>
    </rPh>
    <rPh sb="19" eb="22">
      <t>ジギョウショ</t>
    </rPh>
    <rPh sb="22" eb="23">
      <t>ゼイ</t>
    </rPh>
    <rPh sb="24" eb="26">
      <t>ヘイセイ</t>
    </rPh>
    <rPh sb="27" eb="29">
      <t>ネンド</t>
    </rPh>
    <rPh sb="34" eb="36">
      <t>ドウヨウ</t>
    </rPh>
    <rPh sb="37" eb="39">
      <t>ソチ</t>
    </rPh>
    <rPh sb="40" eb="41">
      <t>コウ</t>
    </rPh>
    <rPh sb="46" eb="48">
      <t>テキトウ</t>
    </rPh>
    <rPh sb="54" eb="56">
      <t>コテイ</t>
    </rPh>
    <rPh sb="56" eb="59">
      <t>シサンゼイ</t>
    </rPh>
    <rPh sb="60" eb="62">
      <t>ヘイセイ</t>
    </rPh>
    <rPh sb="63" eb="65">
      <t>ネンド</t>
    </rPh>
    <rPh sb="70" eb="72">
      <t>フッキュウ</t>
    </rPh>
    <rPh sb="72" eb="74">
      <t>ジョウキョウ</t>
    </rPh>
    <rPh sb="74" eb="75">
      <t>トウ</t>
    </rPh>
    <rPh sb="76" eb="77">
      <t>フ</t>
    </rPh>
    <rPh sb="80" eb="82">
      <t>テキギ</t>
    </rPh>
    <rPh sb="82" eb="84">
      <t>ゲンメン</t>
    </rPh>
    <rPh sb="89" eb="91">
      <t>テキトウ</t>
    </rPh>
    <phoneticPr fontId="21"/>
  </si>
  <si>
    <t>・被災住宅用地の特例の適用期限を平成12年度まで延長（従前平成9年度まで）
・代替資産の特例の適用期限を平12.3.31まで延長（従前10.1.1）</t>
    <rPh sb="1" eb="3">
      <t>ヒサイ</t>
    </rPh>
    <rPh sb="3" eb="5">
      <t>ジュウタク</t>
    </rPh>
    <rPh sb="5" eb="7">
      <t>ヨウチ</t>
    </rPh>
    <rPh sb="8" eb="10">
      <t>トクレイ</t>
    </rPh>
    <rPh sb="11" eb="13">
      <t>テキヨウ</t>
    </rPh>
    <rPh sb="13" eb="15">
      <t>キゲン</t>
    </rPh>
    <rPh sb="16" eb="18">
      <t>ヘイセイ</t>
    </rPh>
    <rPh sb="20" eb="22">
      <t>ネンド</t>
    </rPh>
    <rPh sb="24" eb="26">
      <t>エンチョウ</t>
    </rPh>
    <rPh sb="27" eb="29">
      <t>ジュウゼン</t>
    </rPh>
    <rPh sb="29" eb="31">
      <t>ヘイセイ</t>
    </rPh>
    <rPh sb="32" eb="34">
      <t>ネンド</t>
    </rPh>
    <rPh sb="39" eb="41">
      <t>ダイタイ</t>
    </rPh>
    <rPh sb="41" eb="43">
      <t>シサン</t>
    </rPh>
    <rPh sb="44" eb="46">
      <t>トクレイ</t>
    </rPh>
    <rPh sb="47" eb="49">
      <t>テキヨウ</t>
    </rPh>
    <rPh sb="49" eb="51">
      <t>キゲン</t>
    </rPh>
    <rPh sb="52" eb="53">
      <t>ヘイ</t>
    </rPh>
    <rPh sb="62" eb="63">
      <t>エン</t>
    </rPh>
    <rPh sb="63" eb="64">
      <t>チョウ</t>
    </rPh>
    <rPh sb="65" eb="67">
      <t>ジュウゼン</t>
    </rPh>
    <phoneticPr fontId="21"/>
  </si>
  <si>
    <t>・所得税の住宅取得促進税制の控除率について震災特例の創設
・特定住宅被災市町村の区域内にある土地等が地方公共団体等に買い取られる場合の2,000万円控除の適用期限（従前9.3.31）を2年延長</t>
    <rPh sb="1" eb="4">
      <t>ショトクゼイ</t>
    </rPh>
    <rPh sb="5" eb="7">
      <t>ジュウタク</t>
    </rPh>
    <rPh sb="7" eb="9">
      <t>シュトク</t>
    </rPh>
    <rPh sb="9" eb="11">
      <t>ソクシン</t>
    </rPh>
    <rPh sb="11" eb="13">
      <t>ゼイセイ</t>
    </rPh>
    <rPh sb="14" eb="16">
      <t>コウジョ</t>
    </rPh>
    <rPh sb="16" eb="17">
      <t>リツ</t>
    </rPh>
    <rPh sb="21" eb="22">
      <t>フル</t>
    </rPh>
    <rPh sb="22" eb="23">
      <t>ワザワ</t>
    </rPh>
    <rPh sb="23" eb="25">
      <t>トクレイ</t>
    </rPh>
    <rPh sb="26" eb="28">
      <t>ソウセツ</t>
    </rPh>
    <rPh sb="30" eb="32">
      <t>トクテイ</t>
    </rPh>
    <rPh sb="32" eb="34">
      <t>ジュウタク</t>
    </rPh>
    <rPh sb="34" eb="36">
      <t>ヒサイ</t>
    </rPh>
    <rPh sb="36" eb="38">
      <t>シチョウ</t>
    </rPh>
    <rPh sb="38" eb="39">
      <t>ソン</t>
    </rPh>
    <rPh sb="40" eb="42">
      <t>クイキ</t>
    </rPh>
    <rPh sb="42" eb="43">
      <t>ナイ</t>
    </rPh>
    <rPh sb="46" eb="48">
      <t>トチ</t>
    </rPh>
    <rPh sb="48" eb="49">
      <t>トウ</t>
    </rPh>
    <rPh sb="52" eb="54">
      <t>コウキョウ</t>
    </rPh>
    <rPh sb="54" eb="56">
      <t>ダンタイ</t>
    </rPh>
    <rPh sb="56" eb="57">
      <t>トウ</t>
    </rPh>
    <rPh sb="58" eb="59">
      <t>カ</t>
    </rPh>
    <rPh sb="60" eb="61">
      <t>ト</t>
    </rPh>
    <rPh sb="64" eb="66">
      <t>バアイ</t>
    </rPh>
    <rPh sb="72" eb="74">
      <t>マンエン</t>
    </rPh>
    <rPh sb="74" eb="76">
      <t>コウジョ</t>
    </rPh>
    <rPh sb="77" eb="79">
      <t>テキヨウ</t>
    </rPh>
    <rPh sb="79" eb="81">
      <t>キゲン</t>
    </rPh>
    <rPh sb="93" eb="94">
      <t>ネン</t>
    </rPh>
    <rPh sb="94" eb="96">
      <t>エンチョウ</t>
    </rPh>
    <phoneticPr fontId="21"/>
  </si>
  <si>
    <t>・固定資産税等の不均一課税に対する減収補てん措置の被災地特例（輸入促進基盤施設）について適用期限（従前10.3.23）を2年延長</t>
    <rPh sb="1" eb="3">
      <t>コテイ</t>
    </rPh>
    <rPh sb="3" eb="6">
      <t>シサンゼイ</t>
    </rPh>
    <rPh sb="6" eb="7">
      <t>トウ</t>
    </rPh>
    <rPh sb="8" eb="11">
      <t>フキンイツ</t>
    </rPh>
    <rPh sb="11" eb="12">
      <t>カ</t>
    </rPh>
    <rPh sb="12" eb="13">
      <t>ゼイ</t>
    </rPh>
    <rPh sb="14" eb="15">
      <t>タイ</t>
    </rPh>
    <rPh sb="17" eb="18">
      <t>ゲン</t>
    </rPh>
    <rPh sb="18" eb="19">
      <t>シュウ</t>
    </rPh>
    <rPh sb="19" eb="20">
      <t>ホ</t>
    </rPh>
    <rPh sb="22" eb="24">
      <t>ソチ</t>
    </rPh>
    <rPh sb="25" eb="28">
      <t>ヒサイチ</t>
    </rPh>
    <rPh sb="28" eb="30">
      <t>トクレイ</t>
    </rPh>
    <rPh sb="31" eb="33">
      <t>ユニュウ</t>
    </rPh>
    <rPh sb="33" eb="35">
      <t>ソクシン</t>
    </rPh>
    <rPh sb="35" eb="37">
      <t>キバン</t>
    </rPh>
    <rPh sb="37" eb="39">
      <t>シセツ</t>
    </rPh>
    <rPh sb="44" eb="46">
      <t>テキヨウ</t>
    </rPh>
    <rPh sb="46" eb="48">
      <t>キゲン</t>
    </rPh>
    <rPh sb="49" eb="51">
      <t>ジュウゼン</t>
    </rPh>
    <rPh sb="61" eb="62">
      <t>ネン</t>
    </rPh>
    <rPh sb="62" eb="64">
      <t>エンチョウ</t>
    </rPh>
    <phoneticPr fontId="21"/>
  </si>
  <si>
    <t>・居住用財産を譲渡した場合の3,000万円特別控除／買換特例／軽減税率の譲渡期限の震災特例創設（本則10.12.31を12.3.31まで）
・特定住宅被災市町村の区域内のある土地等が地方公共団体等に買い取られる場合の2,000万円控除の適用期限（従前11.3.31）を1年延長
・住宅ローン控除制度の創設に伴い，被災者については従前震災特例との選択適用可</t>
    <rPh sb="1" eb="3">
      <t>キョジュウ</t>
    </rPh>
    <rPh sb="3" eb="4">
      <t>ヨウ</t>
    </rPh>
    <rPh sb="4" eb="6">
      <t>ザイサン</t>
    </rPh>
    <rPh sb="7" eb="9">
      <t>ジョウト</t>
    </rPh>
    <rPh sb="11" eb="13">
      <t>バアイ</t>
    </rPh>
    <phoneticPr fontId="21"/>
  </si>
  <si>
    <t>・固定資産税及び都市計画税の代替家屋の特例の間減額期間を3年間から6年間に延長
・不動産取得税の代替家屋に係る課税標準の特例の創設</t>
    <rPh sb="41" eb="44">
      <t>フドウサン</t>
    </rPh>
    <rPh sb="44" eb="46">
      <t>シュトク</t>
    </rPh>
    <rPh sb="46" eb="47">
      <t>ゼイ</t>
    </rPh>
    <rPh sb="48" eb="50">
      <t>ダイタイ</t>
    </rPh>
    <rPh sb="50" eb="52">
      <t>カオク</t>
    </rPh>
    <rPh sb="53" eb="54">
      <t>カカ</t>
    </rPh>
    <rPh sb="55" eb="56">
      <t>カ</t>
    </rPh>
    <rPh sb="56" eb="57">
      <t>ゼイ</t>
    </rPh>
    <rPh sb="57" eb="59">
      <t>ヒョウジュン</t>
    </rPh>
    <rPh sb="60" eb="62">
      <t>トクレイ</t>
    </rPh>
    <rPh sb="63" eb="65">
      <t>ソウセツ</t>
    </rPh>
    <phoneticPr fontId="21"/>
  </si>
  <si>
    <t>ウ　阪神・淡路大震災に係る税制特例措置一覧</t>
    <rPh sb="2" eb="4">
      <t>ハンシン</t>
    </rPh>
    <rPh sb="5" eb="7">
      <t>アワジ</t>
    </rPh>
    <rPh sb="7" eb="10">
      <t>ダイシンサイ</t>
    </rPh>
    <rPh sb="11" eb="12">
      <t>カカワ</t>
    </rPh>
    <rPh sb="13" eb="15">
      <t>ゼイセイ</t>
    </rPh>
    <rPh sb="15" eb="17">
      <t>トクレイ</t>
    </rPh>
    <rPh sb="17" eb="19">
      <t>ソチ</t>
    </rPh>
    <rPh sb="19" eb="21">
      <t>イチラン</t>
    </rPh>
    <phoneticPr fontId="1"/>
  </si>
  <si>
    <t>①国税関係措置</t>
    <rPh sb="1" eb="3">
      <t>コクゼイ</t>
    </rPh>
    <rPh sb="3" eb="5">
      <t>カンケイ</t>
    </rPh>
    <rPh sb="5" eb="7">
      <t>ソチ</t>
    </rPh>
    <phoneticPr fontId="1"/>
  </si>
  <si>
    <t>適用期間</t>
    <rPh sb="0" eb="2">
      <t>テキヨウ</t>
    </rPh>
    <rPh sb="2" eb="4">
      <t>キカン</t>
    </rPh>
    <phoneticPr fontId="21"/>
  </si>
  <si>
    <t>備考</t>
    <rPh sb="0" eb="2">
      <t>ビコウ</t>
    </rPh>
    <phoneticPr fontId="21"/>
  </si>
  <si>
    <t>申告，納付などの期限の延長</t>
    <rPh sb="0" eb="2">
      <t>シンコク</t>
    </rPh>
    <rPh sb="3" eb="5">
      <t>ノウフ</t>
    </rPh>
    <rPh sb="8" eb="10">
      <t>キゲン</t>
    </rPh>
    <rPh sb="11" eb="13">
      <t>エンチョウ</t>
    </rPh>
    <phoneticPr fontId="21"/>
  </si>
  <si>
    <t>所得税　申請により平成8年3月15日，
個人の消費税　申請により平成8年4月1日，
法人税・法人の消費税　申請により平成8年1月31日</t>
    <rPh sb="0" eb="3">
      <t>ショトクゼイ</t>
    </rPh>
    <rPh sb="4" eb="6">
      <t>シンセイ</t>
    </rPh>
    <rPh sb="9" eb="11">
      <t>ヘイセイ</t>
    </rPh>
    <rPh sb="12" eb="13">
      <t>ネン</t>
    </rPh>
    <rPh sb="14" eb="15">
      <t>ガツ</t>
    </rPh>
    <rPh sb="17" eb="18">
      <t>ニチ</t>
    </rPh>
    <rPh sb="20" eb="22">
      <t>コジン</t>
    </rPh>
    <rPh sb="23" eb="26">
      <t>ショウヒゼイ</t>
    </rPh>
    <rPh sb="27" eb="29">
      <t>シンセイ</t>
    </rPh>
    <rPh sb="32" eb="34">
      <t>ヘイセイ</t>
    </rPh>
    <rPh sb="35" eb="36">
      <t>ネン</t>
    </rPh>
    <rPh sb="37" eb="38">
      <t>ガツ</t>
    </rPh>
    <rPh sb="39" eb="40">
      <t>ニチ</t>
    </rPh>
    <rPh sb="42" eb="45">
      <t>ホウジンゼイ</t>
    </rPh>
    <rPh sb="46" eb="48">
      <t>ホウジン</t>
    </rPh>
    <rPh sb="49" eb="52">
      <t>ショウヒゼイ</t>
    </rPh>
    <rPh sb="53" eb="55">
      <t>シンセイ</t>
    </rPh>
    <rPh sb="58" eb="60">
      <t>ヘイセイ</t>
    </rPh>
    <rPh sb="61" eb="62">
      <t>ネン</t>
    </rPh>
    <rPh sb="63" eb="64">
      <t>ガツ</t>
    </rPh>
    <rPh sb="66" eb="67">
      <t>ニチ</t>
    </rPh>
    <phoneticPr fontId="21"/>
  </si>
  <si>
    <t>通則法11
国税庁告示
国税庁通達</t>
    <rPh sb="0" eb="2">
      <t>ツウソク</t>
    </rPh>
    <rPh sb="2" eb="3">
      <t>ホウ</t>
    </rPh>
    <rPh sb="6" eb="8">
      <t>コクゼイ</t>
    </rPh>
    <rPh sb="8" eb="9">
      <t>チョウ</t>
    </rPh>
    <rPh sb="9" eb="11">
      <t>コクジ</t>
    </rPh>
    <rPh sb="12" eb="14">
      <t>コクゼイ</t>
    </rPh>
    <rPh sb="14" eb="15">
      <t>チョウ</t>
    </rPh>
    <rPh sb="15" eb="17">
      <t>ツウタツ</t>
    </rPh>
    <phoneticPr fontId="21"/>
  </si>
  <si>
    <t>災害減免法・雑損控除の適用の特例／被災事業用資産等の損失額の必要経費算入の特例</t>
    <rPh sb="0" eb="2">
      <t>サイガイ</t>
    </rPh>
    <rPh sb="2" eb="4">
      <t>ゲンメン</t>
    </rPh>
    <rPh sb="4" eb="5">
      <t>ホウ</t>
    </rPh>
    <rPh sb="6" eb="8">
      <t>ザッソン</t>
    </rPh>
    <rPh sb="8" eb="10">
      <t>コウジョ</t>
    </rPh>
    <rPh sb="11" eb="13">
      <t>テキヨウ</t>
    </rPh>
    <rPh sb="14" eb="16">
      <t>トクレイ</t>
    </rPh>
    <rPh sb="17" eb="19">
      <t>ヒサイ</t>
    </rPh>
    <rPh sb="19" eb="22">
      <t>ジギョウヨウ</t>
    </rPh>
    <rPh sb="22" eb="24">
      <t>シサン</t>
    </rPh>
    <rPh sb="24" eb="25">
      <t>トウ</t>
    </rPh>
    <rPh sb="26" eb="28">
      <t>ソンシツ</t>
    </rPh>
    <rPh sb="28" eb="29">
      <t>ガク</t>
    </rPh>
    <rPh sb="30" eb="32">
      <t>ヒツヨウ</t>
    </rPh>
    <rPh sb="32" eb="34">
      <t>ケイヒ</t>
    </rPh>
    <rPh sb="34" eb="36">
      <t>サンニュウ</t>
    </rPh>
    <rPh sb="37" eb="39">
      <t>トクレイ</t>
    </rPh>
    <phoneticPr fontId="21"/>
  </si>
  <si>
    <t>本来，平成7年分について適用⇒納税者の選択により，平成6年分の所得税について適用できる。
本来，平成7年分について算入⇒納税者の選択により，平成6年分の所得税について必要経費に算入ができる。</t>
    <rPh sb="0" eb="2">
      <t>ホンライ</t>
    </rPh>
    <rPh sb="3" eb="5">
      <t>ヘイセイ</t>
    </rPh>
    <rPh sb="6" eb="8">
      <t>ネンブン</t>
    </rPh>
    <rPh sb="12" eb="14">
      <t>テキヨウ</t>
    </rPh>
    <rPh sb="15" eb="17">
      <t>ノウゼイ</t>
    </rPh>
    <rPh sb="17" eb="18">
      <t>シャ</t>
    </rPh>
    <rPh sb="19" eb="21">
      <t>センタク</t>
    </rPh>
    <rPh sb="25" eb="27">
      <t>ヘイセイ</t>
    </rPh>
    <rPh sb="28" eb="30">
      <t>ネンブン</t>
    </rPh>
    <rPh sb="31" eb="34">
      <t>ショトクゼイ</t>
    </rPh>
    <rPh sb="38" eb="40">
      <t>テキヨウ</t>
    </rPh>
    <rPh sb="45" eb="47">
      <t>ホンライ</t>
    </rPh>
    <rPh sb="48" eb="50">
      <t>ヘイセイ</t>
    </rPh>
    <rPh sb="51" eb="53">
      <t>ネンブン</t>
    </rPh>
    <rPh sb="57" eb="59">
      <t>サンニュウ</t>
    </rPh>
    <rPh sb="60" eb="62">
      <t>ノウゼイ</t>
    </rPh>
    <rPh sb="62" eb="63">
      <t>シャ</t>
    </rPh>
    <rPh sb="64" eb="66">
      <t>センタク</t>
    </rPh>
    <rPh sb="70" eb="72">
      <t>ヘイセイ</t>
    </rPh>
    <rPh sb="73" eb="75">
      <t>ネンブン</t>
    </rPh>
    <rPh sb="76" eb="79">
      <t>ショトクゼイ</t>
    </rPh>
    <rPh sb="83" eb="85">
      <t>ヒツヨウ</t>
    </rPh>
    <rPh sb="85" eb="87">
      <t>ケイヒ</t>
    </rPh>
    <rPh sb="88" eb="90">
      <t>サンニュウ</t>
    </rPh>
    <phoneticPr fontId="21"/>
  </si>
  <si>
    <t>平成6年分</t>
    <rPh sb="0" eb="2">
      <t>ヘイセイ</t>
    </rPh>
    <rPh sb="3" eb="5">
      <t>ネンブン</t>
    </rPh>
    <phoneticPr fontId="21"/>
  </si>
  <si>
    <t>震災法3
震災法4
震災法42
災免法2,3</t>
    <rPh sb="0" eb="2">
      <t>シンサイ</t>
    </rPh>
    <rPh sb="2" eb="3">
      <t>ホウ</t>
    </rPh>
    <rPh sb="5" eb="7">
      <t>シンサイ</t>
    </rPh>
    <rPh sb="7" eb="8">
      <t>ホウ</t>
    </rPh>
    <rPh sb="10" eb="12">
      <t>シンサイ</t>
    </rPh>
    <rPh sb="12" eb="13">
      <t>ホウ</t>
    </rPh>
    <rPh sb="16" eb="17">
      <t>サイ</t>
    </rPh>
    <rPh sb="17" eb="18">
      <t>メン</t>
    </rPh>
    <rPh sb="18" eb="19">
      <t>ホウ</t>
    </rPh>
    <phoneticPr fontId="21"/>
  </si>
  <si>
    <t>災害減免所得要件緩和</t>
    <rPh sb="0" eb="2">
      <t>サイガイ</t>
    </rPh>
    <rPh sb="2" eb="4">
      <t>ゲンメン</t>
    </rPh>
    <rPh sb="4" eb="6">
      <t>ショトク</t>
    </rPh>
    <rPh sb="6" eb="8">
      <t>ヨウケン</t>
    </rPh>
    <rPh sb="8" eb="10">
      <t>カンワ</t>
    </rPh>
    <phoneticPr fontId="21"/>
  </si>
  <si>
    <t>適用の所得要件を600万円以下から1,000万円以下に引上げ</t>
    <rPh sb="0" eb="2">
      <t>テキヨウ</t>
    </rPh>
    <rPh sb="3" eb="5">
      <t>ショトク</t>
    </rPh>
    <rPh sb="5" eb="7">
      <t>ヨウケン</t>
    </rPh>
    <rPh sb="11" eb="13">
      <t>マンエン</t>
    </rPh>
    <rPh sb="13" eb="15">
      <t>イカ</t>
    </rPh>
    <rPh sb="22" eb="24">
      <t>マンエン</t>
    </rPh>
    <rPh sb="24" eb="26">
      <t>イカ</t>
    </rPh>
    <rPh sb="27" eb="28">
      <t>ヒ</t>
    </rPh>
    <rPh sb="28" eb="29">
      <t>ア</t>
    </rPh>
    <phoneticPr fontId="21"/>
  </si>
  <si>
    <t>一般的改正</t>
    <rPh sb="0" eb="3">
      <t>イッパンテキ</t>
    </rPh>
    <rPh sb="3" eb="5">
      <t>カイセイ</t>
    </rPh>
    <phoneticPr fontId="21"/>
  </si>
  <si>
    <t>災免法2,3</t>
    <rPh sb="0" eb="1">
      <t>サイ</t>
    </rPh>
    <rPh sb="1" eb="2">
      <t>メン</t>
    </rPh>
    <rPh sb="2" eb="3">
      <t>ホウ</t>
    </rPh>
    <phoneticPr fontId="21"/>
  </si>
  <si>
    <t>住宅取得等特別控除の適用の特例</t>
    <rPh sb="0" eb="2">
      <t>ジュウタク</t>
    </rPh>
    <rPh sb="2" eb="4">
      <t>シュトク</t>
    </rPh>
    <rPh sb="4" eb="5">
      <t>トウ</t>
    </rPh>
    <rPh sb="5" eb="7">
      <t>トクベツ</t>
    </rPh>
    <rPh sb="7" eb="9">
      <t>コウジョ</t>
    </rPh>
    <rPh sb="10" eb="12">
      <t>テキヨウ</t>
    </rPh>
    <rPh sb="13" eb="15">
      <t>トクレイ</t>
    </rPh>
    <phoneticPr fontId="21"/>
  </si>
  <si>
    <t>本制度適用の住宅等が滅失等しても，6年間の控除期間のうち，残存期間につき継続適用される。</t>
    <rPh sb="0" eb="1">
      <t>ホン</t>
    </rPh>
    <rPh sb="1" eb="3">
      <t>セイド</t>
    </rPh>
    <rPh sb="3" eb="5">
      <t>テキヨウ</t>
    </rPh>
    <rPh sb="6" eb="8">
      <t>ジュウタク</t>
    </rPh>
    <rPh sb="8" eb="9">
      <t>トウ</t>
    </rPh>
    <rPh sb="10" eb="12">
      <t>メッシツ</t>
    </rPh>
    <rPh sb="12" eb="13">
      <t>トウ</t>
    </rPh>
    <rPh sb="18" eb="20">
      <t>ネンカン</t>
    </rPh>
    <rPh sb="21" eb="23">
      <t>コウジョ</t>
    </rPh>
    <rPh sb="23" eb="25">
      <t>キカン</t>
    </rPh>
    <rPh sb="29" eb="31">
      <t>ザンゾン</t>
    </rPh>
    <rPh sb="31" eb="33">
      <t>キカン</t>
    </rPh>
    <rPh sb="36" eb="38">
      <t>ケイゾク</t>
    </rPh>
    <rPh sb="38" eb="40">
      <t>テキヨウ</t>
    </rPh>
    <phoneticPr fontId="21"/>
  </si>
  <si>
    <t>旧震災法16
改正附則24,25</t>
    <rPh sb="0" eb="1">
      <t>キュウ</t>
    </rPh>
    <rPh sb="1" eb="3">
      <t>シンサイ</t>
    </rPh>
    <rPh sb="3" eb="4">
      <t>ホウ</t>
    </rPh>
    <rPh sb="7" eb="9">
      <t>カイセイ</t>
    </rPh>
    <rPh sb="9" eb="11">
      <t>フソク</t>
    </rPh>
    <phoneticPr fontId="21"/>
  </si>
  <si>
    <t>被災居住者の新築家屋について住宅借入金等の年末残高1,000万円以下部分に適用の控除率を全控除期間（6年間）2％とする。</t>
    <rPh sb="0" eb="2">
      <t>ヒサイ</t>
    </rPh>
    <rPh sb="2" eb="5">
      <t>キョジュウシャ</t>
    </rPh>
    <rPh sb="6" eb="8">
      <t>シンチク</t>
    </rPh>
    <rPh sb="8" eb="10">
      <t>カオク</t>
    </rPh>
    <rPh sb="14" eb="16">
      <t>ジュウタク</t>
    </rPh>
    <rPh sb="16" eb="18">
      <t>カリイレ</t>
    </rPh>
    <rPh sb="18" eb="19">
      <t>キン</t>
    </rPh>
    <rPh sb="19" eb="20">
      <t>トウ</t>
    </rPh>
    <rPh sb="21" eb="23">
      <t>ネンマツ</t>
    </rPh>
    <rPh sb="23" eb="25">
      <t>ザンダカ</t>
    </rPh>
    <rPh sb="30" eb="32">
      <t>マンエン</t>
    </rPh>
    <rPh sb="32" eb="34">
      <t>イカ</t>
    </rPh>
    <rPh sb="34" eb="36">
      <t>ブブン</t>
    </rPh>
    <rPh sb="37" eb="39">
      <t>テキヨウ</t>
    </rPh>
    <rPh sb="40" eb="42">
      <t>コウジョ</t>
    </rPh>
    <rPh sb="42" eb="43">
      <t>リツ</t>
    </rPh>
    <rPh sb="44" eb="45">
      <t>ゼン</t>
    </rPh>
    <rPh sb="45" eb="47">
      <t>コウジョ</t>
    </rPh>
    <rPh sb="47" eb="49">
      <t>キカン</t>
    </rPh>
    <rPh sb="51" eb="53">
      <t>ネンカン</t>
    </rPh>
    <phoneticPr fontId="21"/>
  </si>
  <si>
    <t>9.1.1～16.12.31の
取得</t>
    <rPh sb="16" eb="18">
      <t>シュトク</t>
    </rPh>
    <phoneticPr fontId="21"/>
  </si>
  <si>
    <t>震災法16</t>
    <rPh sb="0" eb="2">
      <t>シンサイ</t>
    </rPh>
    <rPh sb="2" eb="3">
      <t>ホウ</t>
    </rPh>
    <phoneticPr fontId="21"/>
  </si>
  <si>
    <t>財形住宅（年金）貯蓄の不適格払出に対する課税の特例</t>
    <rPh sb="0" eb="2">
      <t>ザイケイ</t>
    </rPh>
    <rPh sb="2" eb="4">
      <t>ジュウタク</t>
    </rPh>
    <rPh sb="5" eb="7">
      <t>ネンキン</t>
    </rPh>
    <rPh sb="8" eb="10">
      <t>チョチク</t>
    </rPh>
    <rPh sb="11" eb="14">
      <t>フテキカク</t>
    </rPh>
    <rPh sb="14" eb="16">
      <t>ハライダシ</t>
    </rPh>
    <rPh sb="17" eb="18">
      <t>タイ</t>
    </rPh>
    <rPh sb="20" eb="21">
      <t>カ</t>
    </rPh>
    <rPh sb="21" eb="22">
      <t>ゼイ</t>
    </rPh>
    <rPh sb="23" eb="25">
      <t>トクレイ</t>
    </rPh>
    <phoneticPr fontId="21"/>
  </si>
  <si>
    <t>財形住宅（年金）貯蓄の大震災に伴う要件に該当しないこととなる払出しの場合には,課税対象とせず,利子等の遡及課税も行わない。</t>
    <rPh sb="0" eb="2">
      <t>ザイケイ</t>
    </rPh>
    <rPh sb="2" eb="4">
      <t>ジュウタク</t>
    </rPh>
    <rPh sb="5" eb="7">
      <t>ネンキン</t>
    </rPh>
    <rPh sb="8" eb="10">
      <t>チョチク</t>
    </rPh>
    <rPh sb="11" eb="14">
      <t>ダイシンサイ</t>
    </rPh>
    <rPh sb="15" eb="16">
      <t>トモナ</t>
    </rPh>
    <rPh sb="17" eb="19">
      <t>ヨウケン</t>
    </rPh>
    <rPh sb="20" eb="22">
      <t>ガイトウ</t>
    </rPh>
    <rPh sb="30" eb="32">
      <t>ハライダ</t>
    </rPh>
    <rPh sb="34" eb="36">
      <t>バアイ</t>
    </rPh>
    <rPh sb="39" eb="40">
      <t>カ</t>
    </rPh>
    <rPh sb="40" eb="41">
      <t>ゼイ</t>
    </rPh>
    <rPh sb="41" eb="43">
      <t>タイショウ</t>
    </rPh>
    <rPh sb="47" eb="49">
      <t>リシ</t>
    </rPh>
    <rPh sb="49" eb="50">
      <t>トウ</t>
    </rPh>
    <rPh sb="51" eb="53">
      <t>ソキュウ</t>
    </rPh>
    <rPh sb="53" eb="54">
      <t>カ</t>
    </rPh>
    <rPh sb="54" eb="55">
      <t>ゼイ</t>
    </rPh>
    <rPh sb="56" eb="57">
      <t>オコナ</t>
    </rPh>
    <phoneticPr fontId="21"/>
  </si>
  <si>
    <t>7.1.17～8.1.16の
払出し</t>
    <rPh sb="15" eb="17">
      <t>ハライダ</t>
    </rPh>
    <phoneticPr fontId="21"/>
  </si>
  <si>
    <t>震災法7</t>
    <rPh sb="0" eb="2">
      <t>シンサイ</t>
    </rPh>
    <rPh sb="2" eb="3">
      <t>ホウ</t>
    </rPh>
    <phoneticPr fontId="21"/>
  </si>
  <si>
    <t>最低資本金制度の特例に伴う非課税措置の特例</t>
    <rPh sb="0" eb="2">
      <t>サイテイ</t>
    </rPh>
    <rPh sb="2" eb="5">
      <t>シホンキン</t>
    </rPh>
    <rPh sb="5" eb="7">
      <t>セイド</t>
    </rPh>
    <rPh sb="8" eb="10">
      <t>トクレイ</t>
    </rPh>
    <rPh sb="11" eb="12">
      <t>トモナ</t>
    </rPh>
    <rPh sb="13" eb="16">
      <t>ヒカゼイ</t>
    </rPh>
    <rPh sb="16" eb="18">
      <t>ソチ</t>
    </rPh>
    <rPh sb="19" eb="21">
      <t>トクレイ</t>
    </rPh>
    <phoneticPr fontId="21"/>
  </si>
  <si>
    <t>最低資本金に関する猶予期間の延長に併せて,利益の資本組入れに係るみなし配当の非課税措置等の適用期限を1年延長</t>
    <rPh sb="0" eb="2">
      <t>サイテイ</t>
    </rPh>
    <rPh sb="2" eb="4">
      <t>シホン</t>
    </rPh>
    <rPh sb="4" eb="5">
      <t>キン</t>
    </rPh>
    <rPh sb="6" eb="7">
      <t>カン</t>
    </rPh>
    <rPh sb="9" eb="11">
      <t>ユウヨ</t>
    </rPh>
    <rPh sb="11" eb="13">
      <t>キカン</t>
    </rPh>
    <rPh sb="14" eb="16">
      <t>エンチョウ</t>
    </rPh>
    <rPh sb="17" eb="18">
      <t>アワ</t>
    </rPh>
    <rPh sb="21" eb="23">
      <t>リエキ</t>
    </rPh>
    <rPh sb="24" eb="26">
      <t>シホン</t>
    </rPh>
    <rPh sb="26" eb="28">
      <t>クミイ</t>
    </rPh>
    <rPh sb="30" eb="31">
      <t>カカ</t>
    </rPh>
    <rPh sb="35" eb="37">
      <t>ハイトウ</t>
    </rPh>
    <rPh sb="38" eb="41">
      <t>ヒカゼイ</t>
    </rPh>
    <rPh sb="41" eb="43">
      <t>ソチ</t>
    </rPh>
    <rPh sb="43" eb="44">
      <t>トウ</t>
    </rPh>
    <rPh sb="45" eb="47">
      <t>テキヨウ</t>
    </rPh>
    <rPh sb="47" eb="49">
      <t>キゲン</t>
    </rPh>
    <rPh sb="51" eb="52">
      <t>ネン</t>
    </rPh>
    <rPh sb="52" eb="54">
      <t>エンチョウ</t>
    </rPh>
    <phoneticPr fontId="21"/>
  </si>
  <si>
    <t>9.3.31まで
延長</t>
    <rPh sb="9" eb="11">
      <t>エンチョウ</t>
    </rPh>
    <phoneticPr fontId="21"/>
  </si>
  <si>
    <t>震災法8，
8の2</t>
    <rPh sb="0" eb="2">
      <t>シンサイ</t>
    </rPh>
    <rPh sb="2" eb="3">
      <t>ホウ</t>
    </rPh>
    <phoneticPr fontId="21"/>
  </si>
  <si>
    <t>給与所得者等が住宅資金の貸し付けを受けた場合の課税の特例</t>
    <rPh sb="0" eb="2">
      <t>キュウヨ</t>
    </rPh>
    <rPh sb="2" eb="4">
      <t>ショトク</t>
    </rPh>
    <rPh sb="4" eb="5">
      <t>シャ</t>
    </rPh>
    <rPh sb="5" eb="6">
      <t>トウ</t>
    </rPh>
    <rPh sb="7" eb="9">
      <t>ジュウタク</t>
    </rPh>
    <rPh sb="9" eb="11">
      <t>シキン</t>
    </rPh>
    <rPh sb="12" eb="13">
      <t>カ</t>
    </rPh>
    <rPh sb="14" eb="15">
      <t>ツ</t>
    </rPh>
    <rPh sb="17" eb="18">
      <t>ウ</t>
    </rPh>
    <rPh sb="20" eb="22">
      <t>バアイ</t>
    </rPh>
    <rPh sb="23" eb="24">
      <t>カ</t>
    </rPh>
    <rPh sb="24" eb="25">
      <t>ゼイ</t>
    </rPh>
    <rPh sb="26" eb="28">
      <t>トクレイ</t>
    </rPh>
    <phoneticPr fontId="21"/>
  </si>
  <si>
    <t>震災により住宅が滅失等した給与所得者等が，住宅取得等に要する資金に充てるため，その使用人等からその資金の貸付けを使用人である地位に基づいて無利息又は低い金利で受けた場合等の経済的利益については，所得税が課税されない。</t>
    <rPh sb="0" eb="2">
      <t>シンサイ</t>
    </rPh>
    <rPh sb="5" eb="7">
      <t>ジュウタク</t>
    </rPh>
    <rPh sb="8" eb="10">
      <t>メッシツ</t>
    </rPh>
    <rPh sb="10" eb="11">
      <t>トウ</t>
    </rPh>
    <rPh sb="13" eb="15">
      <t>キュウヨ</t>
    </rPh>
    <rPh sb="15" eb="17">
      <t>ショトク</t>
    </rPh>
    <rPh sb="17" eb="18">
      <t>シャ</t>
    </rPh>
    <rPh sb="18" eb="19">
      <t>トウ</t>
    </rPh>
    <rPh sb="21" eb="23">
      <t>ジュウタク</t>
    </rPh>
    <rPh sb="23" eb="25">
      <t>シュトク</t>
    </rPh>
    <rPh sb="25" eb="26">
      <t>トウ</t>
    </rPh>
    <rPh sb="27" eb="28">
      <t>ヨウ</t>
    </rPh>
    <rPh sb="30" eb="32">
      <t>シキン</t>
    </rPh>
    <rPh sb="33" eb="34">
      <t>ア</t>
    </rPh>
    <rPh sb="41" eb="43">
      <t>シヨウ</t>
    </rPh>
    <rPh sb="43" eb="44">
      <t>ニン</t>
    </rPh>
    <rPh sb="44" eb="45">
      <t>トウ</t>
    </rPh>
    <rPh sb="49" eb="51">
      <t>シキン</t>
    </rPh>
    <rPh sb="52" eb="54">
      <t>カシツ</t>
    </rPh>
    <rPh sb="56" eb="58">
      <t>シヨウ</t>
    </rPh>
    <rPh sb="58" eb="59">
      <t>ニン</t>
    </rPh>
    <rPh sb="62" eb="64">
      <t>チイ</t>
    </rPh>
    <rPh sb="65" eb="66">
      <t>モト</t>
    </rPh>
    <rPh sb="69" eb="72">
      <t>ムリソク</t>
    </rPh>
    <rPh sb="72" eb="73">
      <t>マタ</t>
    </rPh>
    <rPh sb="74" eb="75">
      <t>ヒク</t>
    </rPh>
    <rPh sb="76" eb="78">
      <t>キンリ</t>
    </rPh>
    <rPh sb="79" eb="80">
      <t>ウ</t>
    </rPh>
    <rPh sb="82" eb="84">
      <t>バアイ</t>
    </rPh>
    <rPh sb="84" eb="85">
      <t>トウ</t>
    </rPh>
    <rPh sb="86" eb="89">
      <t>ケイザイテキ</t>
    </rPh>
    <rPh sb="89" eb="91">
      <t>リエキ</t>
    </rPh>
    <rPh sb="97" eb="100">
      <t>ショトクゼイ</t>
    </rPh>
    <rPh sb="101" eb="102">
      <t>カ</t>
    </rPh>
    <rPh sb="102" eb="103">
      <t>ゼイ</t>
    </rPh>
    <phoneticPr fontId="21"/>
  </si>
  <si>
    <t>7.1.17～8.12.31の
貸付</t>
    <rPh sb="16" eb="18">
      <t>カシツケ</t>
    </rPh>
    <phoneticPr fontId="21"/>
  </si>
  <si>
    <t>震災法11</t>
    <rPh sb="0" eb="2">
      <t>シンサイ</t>
    </rPh>
    <rPh sb="2" eb="3">
      <t>ホウ</t>
    </rPh>
    <phoneticPr fontId="21"/>
  </si>
  <si>
    <t>代替住宅等を取得した場合の課税の特例</t>
    <rPh sb="0" eb="2">
      <t>ダイタイ</t>
    </rPh>
    <rPh sb="2" eb="4">
      <t>ジュウタク</t>
    </rPh>
    <rPh sb="4" eb="5">
      <t>トウ</t>
    </rPh>
    <rPh sb="6" eb="8">
      <t>シュトク</t>
    </rPh>
    <rPh sb="10" eb="12">
      <t>バアイ</t>
    </rPh>
    <rPh sb="13" eb="14">
      <t>カ</t>
    </rPh>
    <rPh sb="14" eb="15">
      <t>ゼイ</t>
    </rPh>
    <rPh sb="16" eb="18">
      <t>トクレイ</t>
    </rPh>
    <phoneticPr fontId="21"/>
  </si>
  <si>
    <t>被災市街地復興土地区画整理事業に係る換地処分により住宅等を取得した場合は，一定の要件の下に，取得価額の引継ぎにより課税を繰り延べる。</t>
    <rPh sb="0" eb="2">
      <t>ヒサイ</t>
    </rPh>
    <rPh sb="2" eb="5">
      <t>シガイチ</t>
    </rPh>
    <rPh sb="5" eb="7">
      <t>フッコウ</t>
    </rPh>
    <rPh sb="7" eb="9">
      <t>トチ</t>
    </rPh>
    <rPh sb="9" eb="11">
      <t>クカク</t>
    </rPh>
    <rPh sb="11" eb="13">
      <t>セイリ</t>
    </rPh>
    <rPh sb="13" eb="15">
      <t>ジギョウ</t>
    </rPh>
    <rPh sb="16" eb="17">
      <t>カカ</t>
    </rPh>
    <rPh sb="18" eb="20">
      <t>カンチ</t>
    </rPh>
    <rPh sb="20" eb="22">
      <t>ショブン</t>
    </rPh>
    <rPh sb="25" eb="27">
      <t>ジュウタク</t>
    </rPh>
    <rPh sb="27" eb="28">
      <t>トウ</t>
    </rPh>
    <rPh sb="29" eb="31">
      <t>シュトク</t>
    </rPh>
    <rPh sb="33" eb="35">
      <t>バアイ</t>
    </rPh>
    <rPh sb="37" eb="39">
      <t>イッテイ</t>
    </rPh>
    <rPh sb="40" eb="42">
      <t>ヨウケン</t>
    </rPh>
    <rPh sb="43" eb="44">
      <t>モト</t>
    </rPh>
    <rPh sb="46" eb="48">
      <t>シュトク</t>
    </rPh>
    <rPh sb="48" eb="50">
      <t>カガク</t>
    </rPh>
    <rPh sb="51" eb="53">
      <t>ヒキツ</t>
    </rPh>
    <rPh sb="57" eb="58">
      <t>カ</t>
    </rPh>
    <rPh sb="58" eb="59">
      <t>ゼイ</t>
    </rPh>
    <rPh sb="60" eb="61">
      <t>ク</t>
    </rPh>
    <rPh sb="62" eb="63">
      <t>ノ</t>
    </rPh>
    <phoneticPr fontId="21"/>
  </si>
  <si>
    <t>震災法12</t>
    <rPh sb="0" eb="2">
      <t>シンサイ</t>
    </rPh>
    <rPh sb="2" eb="3">
      <t>ホウ</t>
    </rPh>
    <phoneticPr fontId="21"/>
  </si>
  <si>
    <t>居住用財産を譲渡した場合の3,000万円の特別控除／買換特例／軽減税率の適用(一般制度)</t>
    <rPh sb="0" eb="2">
      <t>キョジュウ</t>
    </rPh>
    <rPh sb="2" eb="3">
      <t>ヨウ</t>
    </rPh>
    <rPh sb="3" eb="5">
      <t>ザイサン</t>
    </rPh>
    <rPh sb="6" eb="8">
      <t>ジョウト</t>
    </rPh>
    <rPh sb="10" eb="12">
      <t>バアイ</t>
    </rPh>
    <rPh sb="18" eb="20">
      <t>マンエン</t>
    </rPh>
    <rPh sb="21" eb="23">
      <t>トクベツ</t>
    </rPh>
    <rPh sb="23" eb="25">
      <t>コウジョ</t>
    </rPh>
    <rPh sb="26" eb="28">
      <t>カイカ</t>
    </rPh>
    <rPh sb="28" eb="30">
      <t>トクレイ</t>
    </rPh>
    <rPh sb="31" eb="33">
      <t>ケイゲン</t>
    </rPh>
    <rPh sb="33" eb="35">
      <t>ゼイリツ</t>
    </rPh>
    <rPh sb="36" eb="38">
      <t>テキヨウ</t>
    </rPh>
    <rPh sb="39" eb="41">
      <t>イッパン</t>
    </rPh>
    <rPh sb="41" eb="43">
      <t>セイド</t>
    </rPh>
    <phoneticPr fontId="21"/>
  </si>
  <si>
    <t>居住用財産を譲渡した場合の3,000万円の特別控除／買換特例／軽減税率の適用については，災害により家屋が滅失した日から3年目の年の12月31日までに譲渡した場合には，居住用財産の譲渡としてこれらの適用がある。譲渡期限の特例</t>
    <rPh sb="0" eb="3">
      <t>キョジュウヨウ</t>
    </rPh>
    <rPh sb="3" eb="5">
      <t>ザイサン</t>
    </rPh>
    <rPh sb="6" eb="8">
      <t>ジョウト</t>
    </rPh>
    <rPh sb="10" eb="12">
      <t>バアイ</t>
    </rPh>
    <rPh sb="18" eb="20">
      <t>マンエン</t>
    </rPh>
    <rPh sb="21" eb="23">
      <t>トクベツ</t>
    </rPh>
    <rPh sb="23" eb="25">
      <t>コウジョ</t>
    </rPh>
    <rPh sb="26" eb="28">
      <t>カイカ</t>
    </rPh>
    <rPh sb="28" eb="30">
      <t>トクレイ</t>
    </rPh>
    <rPh sb="31" eb="33">
      <t>ケイゲン</t>
    </rPh>
    <rPh sb="33" eb="35">
      <t>ゼイリツ</t>
    </rPh>
    <rPh sb="36" eb="38">
      <t>テキヨウ</t>
    </rPh>
    <rPh sb="44" eb="46">
      <t>サイガイ</t>
    </rPh>
    <rPh sb="49" eb="51">
      <t>カオク</t>
    </rPh>
    <rPh sb="52" eb="54">
      <t>メッシツ</t>
    </rPh>
    <rPh sb="56" eb="57">
      <t>ヒ</t>
    </rPh>
    <rPh sb="60" eb="62">
      <t>ネンメ</t>
    </rPh>
    <rPh sb="63" eb="64">
      <t>トシ</t>
    </rPh>
    <rPh sb="67" eb="68">
      <t>ガツ</t>
    </rPh>
    <rPh sb="70" eb="71">
      <t>ニチ</t>
    </rPh>
    <rPh sb="74" eb="76">
      <t>ジョウト</t>
    </rPh>
    <rPh sb="78" eb="80">
      <t>バアイ</t>
    </rPh>
    <rPh sb="83" eb="85">
      <t>キョジュウ</t>
    </rPh>
    <rPh sb="85" eb="86">
      <t>ヨウ</t>
    </rPh>
    <rPh sb="86" eb="88">
      <t>ザイサン</t>
    </rPh>
    <rPh sb="89" eb="91">
      <t>ジョウト</t>
    </rPh>
    <rPh sb="98" eb="100">
      <t>テキヨウ</t>
    </rPh>
    <rPh sb="104" eb="106">
      <t>ジョウト</t>
    </rPh>
    <rPh sb="106" eb="108">
      <t>キゲン</t>
    </rPh>
    <rPh sb="109" eb="111">
      <t>トクレイ</t>
    </rPh>
    <phoneticPr fontId="21"/>
  </si>
  <si>
    <t>～10.12.31
⇒～12.3.31
⇒～14.3.31</t>
    <phoneticPr fontId="21"/>
  </si>
  <si>
    <t>措法31の3，35，36の2，36の5,36の6震災法13の2</t>
    <rPh sb="0" eb="1">
      <t>ソ</t>
    </rPh>
    <rPh sb="1" eb="2">
      <t>ホウ</t>
    </rPh>
    <rPh sb="24" eb="26">
      <t>シンサイ</t>
    </rPh>
    <rPh sb="26" eb="27">
      <t>ホウ</t>
    </rPh>
    <phoneticPr fontId="21"/>
  </si>
  <si>
    <t xml:space="preserve">
平12延長</t>
    <rPh sb="2" eb="3">
      <t>ヘイ</t>
    </rPh>
    <rPh sb="5" eb="7">
      <t>エンチョウ</t>
    </rPh>
    <phoneticPr fontId="21"/>
  </si>
  <si>
    <t>震災損失の繰戻しによる法人税額の還付</t>
    <rPh sb="0" eb="2">
      <t>シンサイ</t>
    </rPh>
    <rPh sb="2" eb="4">
      <t>ソンシツ</t>
    </rPh>
    <rPh sb="5" eb="7">
      <t>クリモド</t>
    </rPh>
    <rPh sb="11" eb="14">
      <t>ホウジンゼイ</t>
    </rPh>
    <rPh sb="14" eb="15">
      <t>ガク</t>
    </rPh>
    <rPh sb="16" eb="18">
      <t>カンプ</t>
    </rPh>
    <phoneticPr fontId="21"/>
  </si>
  <si>
    <t>前年の法人税額のうち「震災損失額に対応する部分の税額」を還付。また，還付税額が「震災損失額の1／2に対応する部分の税額」に満たない場合には，その満たない部分につき，更に1年遡って還付。</t>
    <rPh sb="0" eb="2">
      <t>ゼンネン</t>
    </rPh>
    <rPh sb="3" eb="6">
      <t>ホウジンゼイ</t>
    </rPh>
    <rPh sb="6" eb="7">
      <t>ガク</t>
    </rPh>
    <rPh sb="11" eb="13">
      <t>シンサイ</t>
    </rPh>
    <rPh sb="13" eb="15">
      <t>ソンシツ</t>
    </rPh>
    <rPh sb="15" eb="16">
      <t>ガク</t>
    </rPh>
    <rPh sb="17" eb="19">
      <t>タイオウ</t>
    </rPh>
    <rPh sb="21" eb="23">
      <t>ブブン</t>
    </rPh>
    <rPh sb="24" eb="26">
      <t>ゼイガク</t>
    </rPh>
    <rPh sb="28" eb="30">
      <t>カンプ</t>
    </rPh>
    <rPh sb="34" eb="36">
      <t>カンプ</t>
    </rPh>
    <rPh sb="36" eb="38">
      <t>ゼイガク</t>
    </rPh>
    <rPh sb="40" eb="42">
      <t>シンサイ</t>
    </rPh>
    <rPh sb="42" eb="44">
      <t>ソンシツ</t>
    </rPh>
    <rPh sb="44" eb="45">
      <t>ガク</t>
    </rPh>
    <rPh sb="50" eb="52">
      <t>タイオウ</t>
    </rPh>
    <rPh sb="54" eb="56">
      <t>ブブン</t>
    </rPh>
    <rPh sb="57" eb="59">
      <t>ゼイガク</t>
    </rPh>
    <rPh sb="61" eb="62">
      <t>ミ</t>
    </rPh>
    <rPh sb="65" eb="67">
      <t>バアイ</t>
    </rPh>
    <rPh sb="72" eb="73">
      <t>ミ</t>
    </rPh>
    <rPh sb="76" eb="78">
      <t>ブブン</t>
    </rPh>
    <rPh sb="82" eb="83">
      <t>サラ</t>
    </rPh>
    <rPh sb="85" eb="86">
      <t>ネン</t>
    </rPh>
    <rPh sb="86" eb="87">
      <t>サカノボ</t>
    </rPh>
    <rPh sb="89" eb="91">
      <t>カンプ</t>
    </rPh>
    <phoneticPr fontId="21"/>
  </si>
  <si>
    <t>7.1.17～8.1.16
終了事業年度</t>
    <rPh sb="14" eb="16">
      <t>シュウリョウ</t>
    </rPh>
    <rPh sb="16" eb="18">
      <t>ジギョウ</t>
    </rPh>
    <rPh sb="18" eb="20">
      <t>ネンド</t>
    </rPh>
    <phoneticPr fontId="21"/>
  </si>
  <si>
    <t>震災法23</t>
    <rPh sb="0" eb="2">
      <t>シンサイ</t>
    </rPh>
    <rPh sb="2" eb="3">
      <t>ホウ</t>
    </rPh>
    <phoneticPr fontId="21"/>
  </si>
  <si>
    <t>法人の利子・配当等に係る源泉所得税額の還付</t>
    <rPh sb="0" eb="2">
      <t>ホウジン</t>
    </rPh>
    <rPh sb="3" eb="5">
      <t>リシ</t>
    </rPh>
    <rPh sb="6" eb="8">
      <t>ハイトウ</t>
    </rPh>
    <rPh sb="8" eb="9">
      <t>トウ</t>
    </rPh>
    <rPh sb="10" eb="11">
      <t>カカ</t>
    </rPh>
    <rPh sb="12" eb="14">
      <t>ゲンセン</t>
    </rPh>
    <rPh sb="14" eb="17">
      <t>ショトクゼイ</t>
    </rPh>
    <rPh sb="17" eb="18">
      <t>ガク</t>
    </rPh>
    <rPh sb="19" eb="21">
      <t>カンプ</t>
    </rPh>
    <phoneticPr fontId="21"/>
  </si>
  <si>
    <t>利子・配当等に係る所得税額の通常の控除限度額に，震災損失額を加算し，利子・配当等につき源泉徴収された所得税額のうち法人税額から控除しきれなかった部分を還付する。</t>
    <rPh sb="0" eb="2">
      <t>リシ</t>
    </rPh>
    <rPh sb="3" eb="5">
      <t>ハイトウ</t>
    </rPh>
    <rPh sb="5" eb="6">
      <t>トウ</t>
    </rPh>
    <rPh sb="7" eb="8">
      <t>カカ</t>
    </rPh>
    <rPh sb="9" eb="12">
      <t>ショトクゼイ</t>
    </rPh>
    <rPh sb="12" eb="13">
      <t>ガク</t>
    </rPh>
    <rPh sb="14" eb="16">
      <t>ツウジョウ</t>
    </rPh>
    <rPh sb="17" eb="19">
      <t>コウジョ</t>
    </rPh>
    <rPh sb="19" eb="21">
      <t>ゲンド</t>
    </rPh>
    <rPh sb="21" eb="22">
      <t>ガク</t>
    </rPh>
    <rPh sb="24" eb="26">
      <t>シンサイ</t>
    </rPh>
    <rPh sb="26" eb="28">
      <t>ソンシツ</t>
    </rPh>
    <rPh sb="28" eb="29">
      <t>ガク</t>
    </rPh>
    <rPh sb="30" eb="32">
      <t>カサン</t>
    </rPh>
    <rPh sb="34" eb="36">
      <t>リシ</t>
    </rPh>
    <rPh sb="37" eb="39">
      <t>ハイトウ</t>
    </rPh>
    <rPh sb="39" eb="40">
      <t>トウ</t>
    </rPh>
    <rPh sb="43" eb="45">
      <t>ゲンセン</t>
    </rPh>
    <rPh sb="45" eb="47">
      <t>チョウシュウ</t>
    </rPh>
    <rPh sb="50" eb="53">
      <t>ショトクゼイ</t>
    </rPh>
    <rPh sb="53" eb="54">
      <t>ガク</t>
    </rPh>
    <rPh sb="57" eb="60">
      <t>ホウジンゼイ</t>
    </rPh>
    <rPh sb="60" eb="61">
      <t>ガク</t>
    </rPh>
    <rPh sb="63" eb="65">
      <t>コウジョ</t>
    </rPh>
    <rPh sb="72" eb="74">
      <t>ブブン</t>
    </rPh>
    <rPh sb="75" eb="77">
      <t>カンプ</t>
    </rPh>
    <phoneticPr fontId="21"/>
  </si>
  <si>
    <t>震災法24</t>
    <rPh sb="0" eb="2">
      <t>シンサイ</t>
    </rPh>
    <rPh sb="2" eb="3">
      <t>ホウ</t>
    </rPh>
    <phoneticPr fontId="21"/>
  </si>
  <si>
    <t>被災者向け優良賃貸住宅の割増償却</t>
    <rPh sb="0" eb="2">
      <t>ヒサイ</t>
    </rPh>
    <rPh sb="2" eb="3">
      <t>シャ</t>
    </rPh>
    <rPh sb="3" eb="4">
      <t>ム</t>
    </rPh>
    <rPh sb="5" eb="7">
      <t>ユウリョウ</t>
    </rPh>
    <rPh sb="7" eb="9">
      <t>チンタイ</t>
    </rPh>
    <rPh sb="9" eb="11">
      <t>ジュウタク</t>
    </rPh>
    <rPh sb="12" eb="14">
      <t>ワリマシ</t>
    </rPh>
    <rPh sb="14" eb="16">
      <t>ショウキャク</t>
    </rPh>
    <phoneticPr fontId="21"/>
  </si>
  <si>
    <t>特定被災市町村の区域内で取得された被災者向け優良賃貸住宅について，5年間，次の割合で割増償却が認められる。耐用年数35年以上のもの…70／100，〃35年未満…50／100</t>
    <rPh sb="0" eb="2">
      <t>トクテイ</t>
    </rPh>
    <rPh sb="2" eb="4">
      <t>ヒサイ</t>
    </rPh>
    <rPh sb="4" eb="6">
      <t>シチョウ</t>
    </rPh>
    <rPh sb="6" eb="7">
      <t>ソン</t>
    </rPh>
    <rPh sb="8" eb="10">
      <t>クイキ</t>
    </rPh>
    <rPh sb="10" eb="11">
      <t>ナイ</t>
    </rPh>
    <rPh sb="12" eb="14">
      <t>シュトク</t>
    </rPh>
    <rPh sb="17" eb="19">
      <t>ヒサイ</t>
    </rPh>
    <rPh sb="19" eb="20">
      <t>シャ</t>
    </rPh>
    <rPh sb="20" eb="21">
      <t>ム</t>
    </rPh>
    <rPh sb="22" eb="24">
      <t>ユウリョウ</t>
    </rPh>
    <rPh sb="24" eb="26">
      <t>チンタイ</t>
    </rPh>
    <rPh sb="26" eb="28">
      <t>ジュウタク</t>
    </rPh>
    <rPh sb="34" eb="36">
      <t>ネンカン</t>
    </rPh>
    <rPh sb="37" eb="38">
      <t>ツギ</t>
    </rPh>
    <rPh sb="39" eb="41">
      <t>ワリアイ</t>
    </rPh>
    <rPh sb="42" eb="44">
      <t>ワリマシ</t>
    </rPh>
    <rPh sb="44" eb="46">
      <t>ショウキャク</t>
    </rPh>
    <rPh sb="47" eb="48">
      <t>ミト</t>
    </rPh>
    <rPh sb="53" eb="55">
      <t>タイヨウ</t>
    </rPh>
    <rPh sb="55" eb="57">
      <t>ネンスウ</t>
    </rPh>
    <rPh sb="59" eb="60">
      <t>ネン</t>
    </rPh>
    <rPh sb="60" eb="62">
      <t>イジョウ</t>
    </rPh>
    <rPh sb="76" eb="77">
      <t>ネン</t>
    </rPh>
    <rPh sb="77" eb="79">
      <t>ミマン</t>
    </rPh>
    <phoneticPr fontId="21"/>
  </si>
  <si>
    <t>7.4.1～12.3.31の
取得</t>
    <rPh sb="15" eb="17">
      <t>シュトク</t>
    </rPh>
    <phoneticPr fontId="21"/>
  </si>
  <si>
    <t>震災法9
震災法17</t>
    <rPh sb="0" eb="2">
      <t>シンサイ</t>
    </rPh>
    <rPh sb="2" eb="3">
      <t>ホウ</t>
    </rPh>
    <rPh sb="5" eb="7">
      <t>シンサイ</t>
    </rPh>
    <rPh sb="7" eb="8">
      <t>ホウ</t>
    </rPh>
    <phoneticPr fontId="21"/>
  </si>
  <si>
    <t>平10期限延長
･耐用年数区分改正</t>
    <rPh sb="0" eb="1">
      <t>ヘイ</t>
    </rPh>
    <rPh sb="3" eb="5">
      <t>キゲン</t>
    </rPh>
    <rPh sb="5" eb="7">
      <t>エンチョウ</t>
    </rPh>
    <rPh sb="9" eb="11">
      <t>タイヨウ</t>
    </rPh>
    <rPh sb="11" eb="13">
      <t>ネンスウ</t>
    </rPh>
    <rPh sb="13" eb="15">
      <t>クブン</t>
    </rPh>
    <rPh sb="15" eb="17">
      <t>カイセイ</t>
    </rPh>
    <phoneticPr fontId="21"/>
  </si>
  <si>
    <t>被災代替資産等の特別償却</t>
    <rPh sb="0" eb="2">
      <t>ヒサイ</t>
    </rPh>
    <rPh sb="2" eb="4">
      <t>ダイタイ</t>
    </rPh>
    <rPh sb="4" eb="6">
      <t>シサン</t>
    </rPh>
    <rPh sb="6" eb="7">
      <t>トウ</t>
    </rPh>
    <rPh sb="8" eb="10">
      <t>トクベツ</t>
    </rPh>
    <rPh sb="10" eb="12">
      <t>ショウキャク</t>
    </rPh>
    <phoneticPr fontId="21"/>
  </si>
  <si>
    <t>滅失等した建物，構築物，機械装置の代替資産について次の割合の特別償却が認められる（［ ］内は中小企業等適用割合）
　　　　　　　　　10.3.31前取得分　　10.4.1以降取得分
　　建物・構築物　　15％［18％］　 　　10％［12％］
　　機械装置　　　　30％［36％］　 　　20％［24％］</t>
    <rPh sb="0" eb="2">
      <t>メッシツ</t>
    </rPh>
    <rPh sb="2" eb="3">
      <t>トウ</t>
    </rPh>
    <rPh sb="5" eb="7">
      <t>タテモノ</t>
    </rPh>
    <rPh sb="8" eb="11">
      <t>コウチクブツ</t>
    </rPh>
    <rPh sb="12" eb="14">
      <t>キカイ</t>
    </rPh>
    <rPh sb="14" eb="16">
      <t>ソウチ</t>
    </rPh>
    <rPh sb="17" eb="19">
      <t>ダイタイ</t>
    </rPh>
    <rPh sb="19" eb="21">
      <t>シサン</t>
    </rPh>
    <rPh sb="25" eb="26">
      <t>ツギ</t>
    </rPh>
    <rPh sb="27" eb="29">
      <t>ワリアイ</t>
    </rPh>
    <rPh sb="30" eb="32">
      <t>トクベツ</t>
    </rPh>
    <rPh sb="32" eb="34">
      <t>ショウキャク</t>
    </rPh>
    <rPh sb="35" eb="36">
      <t>ミト</t>
    </rPh>
    <rPh sb="44" eb="45">
      <t>ナイ</t>
    </rPh>
    <rPh sb="46" eb="48">
      <t>チュウショウ</t>
    </rPh>
    <rPh sb="48" eb="50">
      <t>キギョウ</t>
    </rPh>
    <rPh sb="50" eb="51">
      <t>トウ</t>
    </rPh>
    <rPh sb="51" eb="53">
      <t>テキヨウ</t>
    </rPh>
    <rPh sb="53" eb="55">
      <t>ワリアイ</t>
    </rPh>
    <rPh sb="73" eb="74">
      <t>マエ</t>
    </rPh>
    <rPh sb="74" eb="76">
      <t>シュトク</t>
    </rPh>
    <rPh sb="76" eb="77">
      <t>ブン</t>
    </rPh>
    <rPh sb="85" eb="87">
      <t>イコウ</t>
    </rPh>
    <rPh sb="87" eb="89">
      <t>シュトク</t>
    </rPh>
    <rPh sb="89" eb="90">
      <t>ブン</t>
    </rPh>
    <rPh sb="93" eb="95">
      <t>タテモノ</t>
    </rPh>
    <rPh sb="96" eb="99">
      <t>コウチクブツ</t>
    </rPh>
    <rPh sb="124" eb="126">
      <t>キカイ</t>
    </rPh>
    <rPh sb="126" eb="128">
      <t>ソウチ</t>
    </rPh>
    <phoneticPr fontId="21"/>
  </si>
  <si>
    <t>7.1.17～12.3.31の
取得
⇒～14.3.31
⇒～17.3.31</t>
    <rPh sb="16" eb="18">
      <t>シュトク</t>
    </rPh>
    <phoneticPr fontId="21"/>
  </si>
  <si>
    <t>震災法10
震災法18</t>
    <rPh sb="0" eb="2">
      <t>シンサイ</t>
    </rPh>
    <rPh sb="2" eb="3">
      <t>ホウ</t>
    </rPh>
    <rPh sb="6" eb="8">
      <t>シンサイ</t>
    </rPh>
    <rPh sb="8" eb="9">
      <t>ホウ</t>
    </rPh>
    <phoneticPr fontId="21"/>
  </si>
  <si>
    <t>土地譲渡益課税の特例等（例）</t>
    <rPh sb="0" eb="2">
      <t>トチ</t>
    </rPh>
    <rPh sb="2" eb="5">
      <t>ジョウトエキ</t>
    </rPh>
    <rPh sb="5" eb="6">
      <t>カ</t>
    </rPh>
    <rPh sb="6" eb="7">
      <t>ゼイ</t>
    </rPh>
    <rPh sb="8" eb="10">
      <t>トクレイ</t>
    </rPh>
    <rPh sb="10" eb="11">
      <t>トウ</t>
    </rPh>
    <rPh sb="12" eb="13">
      <t>レイ</t>
    </rPh>
    <phoneticPr fontId="21"/>
  </si>
  <si>
    <t xml:space="preserve">
②7.4.1～
　11.3.31
　までの買取
②～12.3.31</t>
    <rPh sb="25" eb="27">
      <t>カイトリ</t>
    </rPh>
    <phoneticPr fontId="21"/>
  </si>
  <si>
    <t>震災法13
震災法19</t>
    <rPh sb="0" eb="2">
      <t>シンサイ</t>
    </rPh>
    <rPh sb="2" eb="3">
      <t>ホウ</t>
    </rPh>
    <rPh sb="6" eb="8">
      <t>シンサイ</t>
    </rPh>
    <rPh sb="8" eb="9">
      <t>ホウ</t>
    </rPh>
    <phoneticPr fontId="21"/>
  </si>
  <si>
    <t xml:space="preserve">
②平9
　期限延長
②平11
　期限延長</t>
    <rPh sb="5" eb="6">
      <t>ヘイ</t>
    </rPh>
    <rPh sb="9" eb="11">
      <t>キゲン</t>
    </rPh>
    <rPh sb="11" eb="13">
      <t>エンチョウ</t>
    </rPh>
    <rPh sb="16" eb="17">
      <t>ヘイ</t>
    </rPh>
    <rPh sb="21" eb="23">
      <t>キゲン</t>
    </rPh>
    <rPh sb="23" eb="25">
      <t>エンチョウ</t>
    </rPh>
    <phoneticPr fontId="21"/>
  </si>
  <si>
    <t>特定の事業用資産の買換え等の場合の譲渡所得の課税の特例</t>
    <rPh sb="0" eb="2">
      <t>トクテイ</t>
    </rPh>
    <rPh sb="3" eb="5">
      <t>ジギョウ</t>
    </rPh>
    <rPh sb="5" eb="6">
      <t>ヨウ</t>
    </rPh>
    <rPh sb="6" eb="8">
      <t>シサン</t>
    </rPh>
    <rPh sb="9" eb="11">
      <t>カイカ</t>
    </rPh>
    <rPh sb="12" eb="13">
      <t>トウ</t>
    </rPh>
    <rPh sb="14" eb="16">
      <t>バアイ</t>
    </rPh>
    <rPh sb="17" eb="19">
      <t>ジョウト</t>
    </rPh>
    <rPh sb="19" eb="21">
      <t>ショトク</t>
    </rPh>
    <rPh sb="22" eb="23">
      <t>カ</t>
    </rPh>
    <rPh sb="23" eb="24">
      <t>ゼイ</t>
    </rPh>
    <rPh sb="25" eb="27">
      <t>トクレイ</t>
    </rPh>
    <phoneticPr fontId="21"/>
  </si>
  <si>
    <t>震災法14
震災法20～22</t>
    <rPh sb="0" eb="2">
      <t>シンサイ</t>
    </rPh>
    <rPh sb="2" eb="3">
      <t>ホウ</t>
    </rPh>
    <rPh sb="6" eb="8">
      <t>シンサイ</t>
    </rPh>
    <rPh sb="8" eb="9">
      <t>ホウ</t>
    </rPh>
    <phoneticPr fontId="21"/>
  </si>
  <si>
    <t>平10課税繰延割合改正
平12延長
平14延長</t>
    <rPh sb="0" eb="1">
      <t>ヘイ</t>
    </rPh>
    <rPh sb="3" eb="4">
      <t>カ</t>
    </rPh>
    <rPh sb="4" eb="5">
      <t>ゼイ</t>
    </rPh>
    <rPh sb="5" eb="7">
      <t>クリノベ</t>
    </rPh>
    <rPh sb="7" eb="9">
      <t>ワリアイ</t>
    </rPh>
    <rPh sb="9" eb="11">
      <t>カイセイ</t>
    </rPh>
    <rPh sb="13" eb="14">
      <t>ヘイ</t>
    </rPh>
    <rPh sb="16" eb="18">
      <t>エンチョウ</t>
    </rPh>
    <rPh sb="19" eb="20">
      <t>ヘイ</t>
    </rPh>
    <rPh sb="22" eb="24">
      <t>エンチョウ</t>
    </rPh>
    <phoneticPr fontId="21"/>
  </si>
  <si>
    <t>買換え特例に係る買換え資産の取得期間等の延長</t>
    <rPh sb="0" eb="2">
      <t>カイカ</t>
    </rPh>
    <rPh sb="3" eb="5">
      <t>トクレイ</t>
    </rPh>
    <rPh sb="6" eb="7">
      <t>カカ</t>
    </rPh>
    <rPh sb="8" eb="10">
      <t>カイカ</t>
    </rPh>
    <rPh sb="11" eb="13">
      <t>シサン</t>
    </rPh>
    <rPh sb="14" eb="16">
      <t>シュトク</t>
    </rPh>
    <rPh sb="16" eb="18">
      <t>キカン</t>
    </rPh>
    <rPh sb="18" eb="19">
      <t>トウ</t>
    </rPh>
    <rPh sb="20" eb="22">
      <t>エンチョウ</t>
    </rPh>
    <phoneticPr fontId="21"/>
  </si>
  <si>
    <t>居住等財産／事業用資産の買換えの特例等に係る買換資産等を，7.12.31までに取得予定であったが，大震災によりその取得が困難となった場合に取得期間の延長が認められる。</t>
    <rPh sb="0" eb="3">
      <t>キョジュウトウ</t>
    </rPh>
    <rPh sb="3" eb="5">
      <t>ザイサン</t>
    </rPh>
    <rPh sb="6" eb="9">
      <t>ジギョウヨウ</t>
    </rPh>
    <rPh sb="9" eb="11">
      <t>シサン</t>
    </rPh>
    <rPh sb="12" eb="14">
      <t>カイカ</t>
    </rPh>
    <rPh sb="16" eb="18">
      <t>トクレイ</t>
    </rPh>
    <rPh sb="18" eb="19">
      <t>トウ</t>
    </rPh>
    <rPh sb="20" eb="21">
      <t>カカ</t>
    </rPh>
    <rPh sb="22" eb="24">
      <t>カイカ</t>
    </rPh>
    <rPh sb="24" eb="26">
      <t>シサン</t>
    </rPh>
    <rPh sb="26" eb="27">
      <t>トウ</t>
    </rPh>
    <rPh sb="39" eb="41">
      <t>シュトク</t>
    </rPh>
    <rPh sb="41" eb="43">
      <t>ヨテイ</t>
    </rPh>
    <rPh sb="49" eb="52">
      <t>ダイシンサイ</t>
    </rPh>
    <rPh sb="57" eb="59">
      <t>シュトク</t>
    </rPh>
    <rPh sb="60" eb="62">
      <t>コンナン</t>
    </rPh>
    <rPh sb="66" eb="68">
      <t>バアイ</t>
    </rPh>
    <rPh sb="69" eb="71">
      <t>シュトク</t>
    </rPh>
    <rPh sb="71" eb="73">
      <t>キカン</t>
    </rPh>
    <rPh sb="74" eb="76">
      <t>エンチョウ</t>
    </rPh>
    <rPh sb="77" eb="78">
      <t>ミト</t>
    </rPh>
    <phoneticPr fontId="21"/>
  </si>
  <si>
    <t>2年間以内の期間延長</t>
    <rPh sb="1" eb="3">
      <t>ネンカン</t>
    </rPh>
    <rPh sb="3" eb="5">
      <t>イナイ</t>
    </rPh>
    <rPh sb="6" eb="8">
      <t>キカン</t>
    </rPh>
    <rPh sb="8" eb="10">
      <t>エンチョウ</t>
    </rPh>
    <phoneticPr fontId="21"/>
  </si>
  <si>
    <t>震災法15
震災法25</t>
    <rPh sb="0" eb="2">
      <t>シンサイ</t>
    </rPh>
    <rPh sb="2" eb="3">
      <t>ホウ</t>
    </rPh>
    <rPh sb="6" eb="8">
      <t>シンサイ</t>
    </rPh>
    <rPh sb="8" eb="9">
      <t>ホウ</t>
    </rPh>
    <phoneticPr fontId="21"/>
  </si>
  <si>
    <t>確定賃貸住宅地等予定地のための譲渡として軽減税率の適用を受けた民間事業者が，大震災により7.12.31までの予定期間内に開発許可等を受けることが困難となった場合にその期間の延長が認められる（所得税）。</t>
    <rPh sb="0" eb="2">
      <t>カクテイ</t>
    </rPh>
    <rPh sb="2" eb="4">
      <t>チンタイ</t>
    </rPh>
    <rPh sb="4" eb="7">
      <t>ジュウタクチ</t>
    </rPh>
    <rPh sb="7" eb="8">
      <t>トウ</t>
    </rPh>
    <rPh sb="8" eb="11">
      <t>ヨテイチ</t>
    </rPh>
    <rPh sb="15" eb="17">
      <t>ジョウト</t>
    </rPh>
    <rPh sb="20" eb="22">
      <t>ケイゲン</t>
    </rPh>
    <rPh sb="22" eb="24">
      <t>ゼイリツ</t>
    </rPh>
    <rPh sb="25" eb="27">
      <t>テキヨウ</t>
    </rPh>
    <rPh sb="28" eb="29">
      <t>ウ</t>
    </rPh>
    <rPh sb="31" eb="33">
      <t>ミンカン</t>
    </rPh>
    <rPh sb="33" eb="35">
      <t>ジギョウ</t>
    </rPh>
    <rPh sb="35" eb="36">
      <t>シャ</t>
    </rPh>
    <rPh sb="38" eb="41">
      <t>ダイシンサイ</t>
    </rPh>
    <rPh sb="54" eb="56">
      <t>ヨテイ</t>
    </rPh>
    <rPh sb="56" eb="59">
      <t>キカンナイ</t>
    </rPh>
    <rPh sb="60" eb="62">
      <t>カイハツ</t>
    </rPh>
    <rPh sb="62" eb="64">
      <t>キョカ</t>
    </rPh>
    <rPh sb="64" eb="65">
      <t>トウ</t>
    </rPh>
    <rPh sb="66" eb="67">
      <t>ウ</t>
    </rPh>
    <rPh sb="72" eb="74">
      <t>コンナン</t>
    </rPh>
    <rPh sb="78" eb="80">
      <t>バアイ</t>
    </rPh>
    <rPh sb="83" eb="85">
      <t>キカン</t>
    </rPh>
    <rPh sb="86" eb="88">
      <t>エンチョウ</t>
    </rPh>
    <rPh sb="89" eb="90">
      <t>ミト</t>
    </rPh>
    <rPh sb="95" eb="98">
      <t>ショトクゼイ</t>
    </rPh>
    <phoneticPr fontId="21"/>
  </si>
  <si>
    <t>2年間以内の期間延長</t>
    <phoneticPr fontId="21"/>
  </si>
  <si>
    <t>震災法15</t>
    <rPh sb="0" eb="2">
      <t>シンサイ</t>
    </rPh>
    <rPh sb="2" eb="3">
      <t>ホウ</t>
    </rPh>
    <phoneticPr fontId="21"/>
  </si>
  <si>
    <t>寄附金控除・寄附金の損金算入に係る指定寄附金制度の活用</t>
    <rPh sb="0" eb="3">
      <t>キフキン</t>
    </rPh>
    <rPh sb="3" eb="5">
      <t>コウジョ</t>
    </rPh>
    <rPh sb="6" eb="9">
      <t>キフキン</t>
    </rPh>
    <rPh sb="10" eb="12">
      <t>ソンキン</t>
    </rPh>
    <rPh sb="12" eb="14">
      <t>サンニュウ</t>
    </rPh>
    <rPh sb="15" eb="16">
      <t>カカ</t>
    </rPh>
    <rPh sb="17" eb="19">
      <t>シテイ</t>
    </rPh>
    <rPh sb="19" eb="22">
      <t>キフキン</t>
    </rPh>
    <rPh sb="22" eb="24">
      <t>セイド</t>
    </rPh>
    <rPh sb="25" eb="27">
      <t>カツヨウ</t>
    </rPh>
    <phoneticPr fontId="21"/>
  </si>
  <si>
    <t xml:space="preserve">
①最長11.3.
31までの申請
①12.3.31
①13.3.31
②9.3.31までの支出</t>
    <rPh sb="3" eb="5">
      <t>サイチョウ</t>
    </rPh>
    <rPh sb="16" eb="18">
      <t>シンセイ</t>
    </rPh>
    <rPh sb="47" eb="49">
      <t>シシュツ</t>
    </rPh>
    <phoneticPr fontId="21"/>
  </si>
  <si>
    <t>所法78
法法37
大蔵省告示</t>
    <rPh sb="0" eb="1">
      <t>ショ</t>
    </rPh>
    <rPh sb="1" eb="2">
      <t>ホウ</t>
    </rPh>
    <rPh sb="5" eb="6">
      <t>ホウ</t>
    </rPh>
    <rPh sb="6" eb="7">
      <t>ホウ</t>
    </rPh>
    <rPh sb="10" eb="13">
      <t>オオクラショウ</t>
    </rPh>
    <rPh sb="13" eb="15">
      <t>コクジ</t>
    </rPh>
    <phoneticPr fontId="21"/>
  </si>
  <si>
    <t xml:space="preserve">
平9.3延長
平11延長
平12延長
平9.3延長</t>
    <rPh sb="2" eb="3">
      <t>ヘイ</t>
    </rPh>
    <rPh sb="6" eb="8">
      <t>エンチョウ</t>
    </rPh>
    <rPh sb="10" eb="11">
      <t>ヘイ</t>
    </rPh>
    <rPh sb="13" eb="15">
      <t>エンチョウ</t>
    </rPh>
    <rPh sb="16" eb="17">
      <t>ヘイ</t>
    </rPh>
    <rPh sb="19" eb="21">
      <t>エンチョウ</t>
    </rPh>
    <rPh sb="22" eb="23">
      <t>ヘイ</t>
    </rPh>
    <rPh sb="26" eb="28">
      <t>エンチョウ</t>
    </rPh>
    <phoneticPr fontId="21"/>
  </si>
  <si>
    <t>法人税
消費税</t>
    <rPh sb="0" eb="3">
      <t>ホウジンゼイ</t>
    </rPh>
    <rPh sb="4" eb="7">
      <t>ショウヒゼイ</t>
    </rPh>
    <phoneticPr fontId="21"/>
  </si>
  <si>
    <t>中間申告書等の提出を要しない場合</t>
    <rPh sb="0" eb="2">
      <t>チュウカン</t>
    </rPh>
    <rPh sb="2" eb="4">
      <t>シンコク</t>
    </rPh>
    <rPh sb="4" eb="5">
      <t>ショ</t>
    </rPh>
    <rPh sb="5" eb="6">
      <t>トウ</t>
    </rPh>
    <rPh sb="7" eb="9">
      <t>テイシュツ</t>
    </rPh>
    <rPh sb="10" eb="11">
      <t>ヨウ</t>
    </rPh>
    <rPh sb="14" eb="16">
      <t>バアイ</t>
    </rPh>
    <phoneticPr fontId="21"/>
  </si>
  <si>
    <t>申告期限の延長により，中間申告書の提出期限が確定申告書の提出期限と同一となる場合は，中間申告書の提出は不要。</t>
    <rPh sb="0" eb="2">
      <t>シンコク</t>
    </rPh>
    <rPh sb="2" eb="4">
      <t>キゲン</t>
    </rPh>
    <rPh sb="5" eb="7">
      <t>エンチョウ</t>
    </rPh>
    <rPh sb="11" eb="13">
      <t>チュウカン</t>
    </rPh>
    <rPh sb="13" eb="15">
      <t>シンコク</t>
    </rPh>
    <rPh sb="15" eb="16">
      <t>ショ</t>
    </rPh>
    <rPh sb="17" eb="19">
      <t>テイシュツ</t>
    </rPh>
    <rPh sb="19" eb="21">
      <t>キゲン</t>
    </rPh>
    <rPh sb="22" eb="24">
      <t>カクテイ</t>
    </rPh>
    <rPh sb="24" eb="26">
      <t>シンコク</t>
    </rPh>
    <rPh sb="26" eb="27">
      <t>ショ</t>
    </rPh>
    <rPh sb="28" eb="30">
      <t>テイシュツ</t>
    </rPh>
    <rPh sb="30" eb="32">
      <t>キゲン</t>
    </rPh>
    <rPh sb="33" eb="35">
      <t>ドウイツ</t>
    </rPh>
    <rPh sb="38" eb="40">
      <t>バアイ</t>
    </rPh>
    <rPh sb="42" eb="44">
      <t>チュウカン</t>
    </rPh>
    <rPh sb="44" eb="46">
      <t>シンコク</t>
    </rPh>
    <rPh sb="46" eb="47">
      <t>ショ</t>
    </rPh>
    <rPh sb="48" eb="50">
      <t>テイシュツ</t>
    </rPh>
    <rPh sb="51" eb="53">
      <t>フヨウ</t>
    </rPh>
    <phoneticPr fontId="21"/>
  </si>
  <si>
    <t>震災法26
震災法40</t>
    <rPh sb="0" eb="2">
      <t>シンサイ</t>
    </rPh>
    <rPh sb="2" eb="3">
      <t>ホウ</t>
    </rPh>
    <rPh sb="6" eb="8">
      <t>シンサイ</t>
    </rPh>
    <rPh sb="8" eb="9">
      <t>ホウ</t>
    </rPh>
    <phoneticPr fontId="21"/>
  </si>
  <si>
    <t>課税事業者届出書等の提出に係る特例</t>
    <rPh sb="0" eb="1">
      <t>カ</t>
    </rPh>
    <rPh sb="1" eb="2">
      <t>ゼイ</t>
    </rPh>
    <rPh sb="2" eb="5">
      <t>ジギョウシャ</t>
    </rPh>
    <rPh sb="5" eb="8">
      <t>トドケデショ</t>
    </rPh>
    <rPh sb="8" eb="9">
      <t>トウ</t>
    </rPh>
    <rPh sb="10" eb="12">
      <t>テイシュツ</t>
    </rPh>
    <rPh sb="13" eb="14">
      <t>カカ</t>
    </rPh>
    <rPh sb="15" eb="17">
      <t>トクレイ</t>
    </rPh>
    <phoneticPr fontId="21"/>
  </si>
  <si>
    <t>被災事業者については，課税事業者選択届出書等の提出が遅れた場合でも，延長された申告書の提出期限までに提出すれば，本来の期限内に提出されたものとして取り扱われる。</t>
    <rPh sb="0" eb="2">
      <t>ヒサイ</t>
    </rPh>
    <rPh sb="2" eb="4">
      <t>ジギョウ</t>
    </rPh>
    <rPh sb="4" eb="5">
      <t>シャ</t>
    </rPh>
    <rPh sb="11" eb="12">
      <t>カ</t>
    </rPh>
    <rPh sb="12" eb="13">
      <t>ゼイ</t>
    </rPh>
    <rPh sb="13" eb="15">
      <t>ジギョウ</t>
    </rPh>
    <rPh sb="15" eb="16">
      <t>シャ</t>
    </rPh>
    <rPh sb="16" eb="18">
      <t>センタク</t>
    </rPh>
    <rPh sb="18" eb="21">
      <t>トドケデショ</t>
    </rPh>
    <rPh sb="21" eb="22">
      <t>トウ</t>
    </rPh>
    <rPh sb="23" eb="25">
      <t>テイシュツ</t>
    </rPh>
    <rPh sb="26" eb="27">
      <t>オク</t>
    </rPh>
    <rPh sb="29" eb="31">
      <t>バアイ</t>
    </rPh>
    <rPh sb="34" eb="36">
      <t>エンチョウ</t>
    </rPh>
    <rPh sb="39" eb="41">
      <t>シンコク</t>
    </rPh>
    <rPh sb="41" eb="42">
      <t>ショ</t>
    </rPh>
    <rPh sb="43" eb="45">
      <t>テイシュツ</t>
    </rPh>
    <rPh sb="45" eb="47">
      <t>キゲン</t>
    </rPh>
    <rPh sb="50" eb="52">
      <t>テイシュツ</t>
    </rPh>
    <rPh sb="56" eb="58">
      <t>ホンライ</t>
    </rPh>
    <rPh sb="59" eb="62">
      <t>キゲンナイ</t>
    </rPh>
    <rPh sb="63" eb="65">
      <t>テイシュツ</t>
    </rPh>
    <rPh sb="73" eb="74">
      <t>ト</t>
    </rPh>
    <rPh sb="75" eb="76">
      <t>アツカ</t>
    </rPh>
    <phoneticPr fontId="21"/>
  </si>
  <si>
    <t>震災法39</t>
    <rPh sb="0" eb="2">
      <t>シンサイ</t>
    </rPh>
    <rPh sb="2" eb="3">
      <t>ホウ</t>
    </rPh>
    <phoneticPr fontId="21"/>
  </si>
  <si>
    <t>特定土地等・特定株式等についての課税価格の計算の特例</t>
    <rPh sb="0" eb="2">
      <t>トクテイ</t>
    </rPh>
    <rPh sb="2" eb="4">
      <t>トチ</t>
    </rPh>
    <rPh sb="4" eb="5">
      <t>トウ</t>
    </rPh>
    <rPh sb="6" eb="8">
      <t>トクテイ</t>
    </rPh>
    <rPh sb="8" eb="10">
      <t>カブシキ</t>
    </rPh>
    <rPh sb="10" eb="11">
      <t>トウ</t>
    </rPh>
    <rPh sb="16" eb="17">
      <t>カ</t>
    </rPh>
    <rPh sb="17" eb="18">
      <t>ゼイ</t>
    </rPh>
    <rPh sb="18" eb="20">
      <t>カカク</t>
    </rPh>
    <rPh sb="21" eb="23">
      <t>ケイサン</t>
    </rPh>
    <rPh sb="24" eb="26">
      <t>トクレイ</t>
    </rPh>
    <phoneticPr fontId="21"/>
  </si>
  <si>
    <t>震災法29
震災法30</t>
    <rPh sb="0" eb="2">
      <t>シンサイ</t>
    </rPh>
    <rPh sb="2" eb="3">
      <t>ホウ</t>
    </rPh>
    <rPh sb="6" eb="8">
      <t>シンサイ</t>
    </rPh>
    <rPh sb="8" eb="9">
      <t>ホウ</t>
    </rPh>
    <phoneticPr fontId="21"/>
  </si>
  <si>
    <t>7.1.17から10.1.16までに相続・贈与により取得した特定土地等のうち一定のものについては，租特法69の4〈相続開始前3年以内に取得等した土地等の特例〉を適用しない。</t>
    <rPh sb="18" eb="20">
      <t>ソウゾク</t>
    </rPh>
    <rPh sb="21" eb="23">
      <t>ゾウヨ</t>
    </rPh>
    <rPh sb="26" eb="28">
      <t>シュトク</t>
    </rPh>
    <rPh sb="30" eb="32">
      <t>トクテイ</t>
    </rPh>
    <rPh sb="32" eb="34">
      <t>トチ</t>
    </rPh>
    <rPh sb="34" eb="35">
      <t>トウ</t>
    </rPh>
    <rPh sb="38" eb="40">
      <t>イッテイ</t>
    </rPh>
    <rPh sb="49" eb="50">
      <t>ソ</t>
    </rPh>
    <rPh sb="50" eb="51">
      <t>トク</t>
    </rPh>
    <rPh sb="51" eb="52">
      <t>ホウ</t>
    </rPh>
    <rPh sb="57" eb="59">
      <t>ソウゾク</t>
    </rPh>
    <rPh sb="59" eb="61">
      <t>カイシ</t>
    </rPh>
    <rPh sb="61" eb="62">
      <t>マエ</t>
    </rPh>
    <rPh sb="63" eb="64">
      <t>ネン</t>
    </rPh>
    <rPh sb="64" eb="66">
      <t>イナイ</t>
    </rPh>
    <rPh sb="67" eb="69">
      <t>シュトク</t>
    </rPh>
    <rPh sb="69" eb="70">
      <t>トウ</t>
    </rPh>
    <rPh sb="72" eb="74">
      <t>トチ</t>
    </rPh>
    <rPh sb="74" eb="75">
      <t>トウ</t>
    </rPh>
    <rPh sb="76" eb="78">
      <t>トクレイ</t>
    </rPh>
    <rPh sb="80" eb="82">
      <t>テキヨウ</t>
    </rPh>
    <phoneticPr fontId="21"/>
  </si>
  <si>
    <t>旧震災法29</t>
    <rPh sb="0" eb="1">
      <t>キュウ</t>
    </rPh>
    <rPh sb="1" eb="3">
      <t>シンサイ</t>
    </rPh>
    <rPh sb="3" eb="4">
      <t>ホウ</t>
    </rPh>
    <phoneticPr fontId="21"/>
  </si>
  <si>
    <t>平8租特法69の4の廃止に伴い廃止</t>
    <rPh sb="0" eb="1">
      <t>ヘイ</t>
    </rPh>
    <rPh sb="2" eb="3">
      <t>ソ</t>
    </rPh>
    <rPh sb="3" eb="4">
      <t>トク</t>
    </rPh>
    <rPh sb="4" eb="5">
      <t>ホウ</t>
    </rPh>
    <rPh sb="10" eb="12">
      <t>ハイシ</t>
    </rPh>
    <rPh sb="13" eb="14">
      <t>トモナ</t>
    </rPh>
    <rPh sb="15" eb="17">
      <t>ハイシ</t>
    </rPh>
    <phoneticPr fontId="21"/>
  </si>
  <si>
    <t>災害減免の適用基準の緩和</t>
    <rPh sb="0" eb="2">
      <t>サイガイ</t>
    </rPh>
    <rPh sb="2" eb="4">
      <t>ゲンメン</t>
    </rPh>
    <rPh sb="5" eb="7">
      <t>テキヨウ</t>
    </rPh>
    <rPh sb="7" eb="9">
      <t>キジュン</t>
    </rPh>
    <rPh sb="10" eb="12">
      <t>カンワ</t>
    </rPh>
    <phoneticPr fontId="21"/>
  </si>
  <si>
    <t>被害相当分の税額を免除（従来，被害割合が相続・受贈財産全体の10分の1以上の場合に適用⇒土地等を除いた相続・受贈財産の10分の1以上が被災を受けた場合も適用）</t>
    <rPh sb="0" eb="2">
      <t>ヒガイ</t>
    </rPh>
    <rPh sb="2" eb="5">
      <t>ソウトウブン</t>
    </rPh>
    <rPh sb="6" eb="8">
      <t>ゼイガク</t>
    </rPh>
    <rPh sb="9" eb="11">
      <t>メンジョ</t>
    </rPh>
    <rPh sb="12" eb="14">
      <t>ジュウライ</t>
    </rPh>
    <rPh sb="15" eb="17">
      <t>ヒガイ</t>
    </rPh>
    <rPh sb="17" eb="19">
      <t>ワリアイ</t>
    </rPh>
    <rPh sb="20" eb="22">
      <t>ソウゾク</t>
    </rPh>
    <rPh sb="23" eb="25">
      <t>ジュゾウ</t>
    </rPh>
    <rPh sb="25" eb="27">
      <t>ザイサン</t>
    </rPh>
    <rPh sb="27" eb="29">
      <t>ゼンタイ</t>
    </rPh>
    <rPh sb="32" eb="33">
      <t>ブン</t>
    </rPh>
    <rPh sb="35" eb="37">
      <t>イジョウ</t>
    </rPh>
    <rPh sb="38" eb="40">
      <t>バアイ</t>
    </rPh>
    <rPh sb="41" eb="43">
      <t>テキヨウ</t>
    </rPh>
    <rPh sb="44" eb="46">
      <t>トチ</t>
    </rPh>
    <rPh sb="46" eb="47">
      <t>トウ</t>
    </rPh>
    <rPh sb="48" eb="49">
      <t>ノゾ</t>
    </rPh>
    <rPh sb="51" eb="53">
      <t>ソウゾク</t>
    </rPh>
    <rPh sb="54" eb="56">
      <t>ジュゾウ</t>
    </rPh>
    <rPh sb="56" eb="58">
      <t>ザイサン</t>
    </rPh>
    <rPh sb="61" eb="62">
      <t>ブン</t>
    </rPh>
    <rPh sb="64" eb="66">
      <t>イジョウ</t>
    </rPh>
    <rPh sb="67" eb="69">
      <t>ヒサイ</t>
    </rPh>
    <rPh sb="70" eb="71">
      <t>ウ</t>
    </rPh>
    <rPh sb="73" eb="75">
      <t>バアイ</t>
    </rPh>
    <rPh sb="76" eb="78">
      <t>テキヨウ</t>
    </rPh>
    <phoneticPr fontId="21"/>
  </si>
  <si>
    <t>災免令11
災免令12</t>
    <rPh sb="0" eb="1">
      <t>サイ</t>
    </rPh>
    <rPh sb="1" eb="2">
      <t>メン</t>
    </rPh>
    <rPh sb="2" eb="3">
      <t>レイ</t>
    </rPh>
    <rPh sb="6" eb="7">
      <t>サイ</t>
    </rPh>
    <rPh sb="7" eb="8">
      <t>メン</t>
    </rPh>
    <rPh sb="8" eb="9">
      <t>レイ</t>
    </rPh>
    <phoneticPr fontId="21"/>
  </si>
  <si>
    <t>地価税</t>
    <rPh sb="0" eb="3">
      <t>チカゼイ</t>
    </rPh>
    <phoneticPr fontId="21"/>
  </si>
  <si>
    <t>被災土地等に対する地価税の減免</t>
    <rPh sb="0" eb="2">
      <t>ヒサイ</t>
    </rPh>
    <rPh sb="2" eb="4">
      <t>トチ</t>
    </rPh>
    <rPh sb="4" eb="5">
      <t>トウ</t>
    </rPh>
    <rPh sb="6" eb="7">
      <t>タイ</t>
    </rPh>
    <rPh sb="9" eb="11">
      <t>チカ</t>
    </rPh>
    <rPh sb="11" eb="12">
      <t>ゼイ</t>
    </rPh>
    <rPh sb="13" eb="15">
      <t>ゲンメン</t>
    </rPh>
    <phoneticPr fontId="21"/>
  </si>
  <si>
    <t>震災により滅失・原状回復困難な建物等の敷地等･･･免除</t>
    <rPh sb="0" eb="2">
      <t>シンサイ</t>
    </rPh>
    <rPh sb="5" eb="7">
      <t>メッシツ</t>
    </rPh>
    <rPh sb="8" eb="10">
      <t>ゲンジョウ</t>
    </rPh>
    <rPh sb="10" eb="12">
      <t>カイフク</t>
    </rPh>
    <rPh sb="12" eb="14">
      <t>コンナン</t>
    </rPh>
    <rPh sb="15" eb="17">
      <t>タテモノ</t>
    </rPh>
    <rPh sb="17" eb="18">
      <t>トウ</t>
    </rPh>
    <rPh sb="19" eb="21">
      <t>シキチ</t>
    </rPh>
    <rPh sb="21" eb="22">
      <t>トウ</t>
    </rPh>
    <rPh sb="25" eb="27">
      <t>メンジョ</t>
    </rPh>
    <phoneticPr fontId="21"/>
  </si>
  <si>
    <t>平成7～9年</t>
    <rPh sb="0" eb="2">
      <t>ヘイセイ</t>
    </rPh>
    <rPh sb="5" eb="6">
      <t>ネン</t>
    </rPh>
    <phoneticPr fontId="21"/>
  </si>
  <si>
    <t>震災法32</t>
    <rPh sb="0" eb="2">
      <t>シンサイ</t>
    </rPh>
    <rPh sb="2" eb="3">
      <t>ホウ</t>
    </rPh>
    <phoneticPr fontId="21"/>
  </si>
  <si>
    <t>次のいずれかに該当する土地等･･･免除
・震災による地割れ，陥没，隆起等の被害部分
・震災により損壊した建物等で床面積の1／2以上が１か月間使用されなかったもの（被災から１か月間の売上金額等が前年同期の1／2以下となった場合も同様）の敷地等</t>
    <rPh sb="0" eb="1">
      <t>ツギ</t>
    </rPh>
    <rPh sb="7" eb="9">
      <t>ガイトウ</t>
    </rPh>
    <rPh sb="11" eb="13">
      <t>トチ</t>
    </rPh>
    <rPh sb="13" eb="14">
      <t>トウ</t>
    </rPh>
    <rPh sb="17" eb="19">
      <t>メンジョ</t>
    </rPh>
    <rPh sb="21" eb="23">
      <t>シンサイ</t>
    </rPh>
    <rPh sb="26" eb="28">
      <t>ジワ</t>
    </rPh>
    <rPh sb="30" eb="32">
      <t>カンボツ</t>
    </rPh>
    <rPh sb="33" eb="35">
      <t>リュウキ</t>
    </rPh>
    <rPh sb="35" eb="36">
      <t>トウ</t>
    </rPh>
    <rPh sb="37" eb="39">
      <t>ヒガイ</t>
    </rPh>
    <rPh sb="39" eb="41">
      <t>ブブン</t>
    </rPh>
    <rPh sb="43" eb="45">
      <t>シンサイ</t>
    </rPh>
    <rPh sb="48" eb="50">
      <t>ソンカイ</t>
    </rPh>
    <rPh sb="52" eb="54">
      <t>タテモノ</t>
    </rPh>
    <rPh sb="54" eb="55">
      <t>トウ</t>
    </rPh>
    <rPh sb="56" eb="59">
      <t>ユカメンセキ</t>
    </rPh>
    <rPh sb="63" eb="65">
      <t>イジョウ</t>
    </rPh>
    <rPh sb="68" eb="70">
      <t>ゲツカン</t>
    </rPh>
    <rPh sb="70" eb="72">
      <t>シヨウ</t>
    </rPh>
    <rPh sb="81" eb="83">
      <t>ヒサイ</t>
    </rPh>
    <rPh sb="87" eb="89">
      <t>ゲツカン</t>
    </rPh>
    <rPh sb="90" eb="92">
      <t>ウリアゲ</t>
    </rPh>
    <rPh sb="92" eb="93">
      <t>キン</t>
    </rPh>
    <rPh sb="93" eb="94">
      <t>ガク</t>
    </rPh>
    <rPh sb="94" eb="95">
      <t>トウ</t>
    </rPh>
    <rPh sb="96" eb="98">
      <t>ゼンネン</t>
    </rPh>
    <rPh sb="98" eb="100">
      <t>ドウキ</t>
    </rPh>
    <rPh sb="104" eb="106">
      <t>イカ</t>
    </rPh>
    <rPh sb="110" eb="112">
      <t>バアイ</t>
    </rPh>
    <rPh sb="113" eb="115">
      <t>ドウヨウ</t>
    </rPh>
    <rPh sb="117" eb="119">
      <t>シキチ</t>
    </rPh>
    <rPh sb="119" eb="120">
      <t>トウ</t>
    </rPh>
    <phoneticPr fontId="21"/>
  </si>
  <si>
    <t>平成7年</t>
    <rPh sb="0" eb="2">
      <t>ヘイセイ</t>
    </rPh>
    <rPh sb="3" eb="4">
      <t>ネン</t>
    </rPh>
    <phoneticPr fontId="21"/>
  </si>
  <si>
    <t>震災法33
震災法34</t>
    <rPh sb="0" eb="2">
      <t>シンサイ</t>
    </rPh>
    <rPh sb="2" eb="3">
      <t>ホウ</t>
    </rPh>
    <rPh sb="6" eb="8">
      <t>シンサイ</t>
    </rPh>
    <rPh sb="8" eb="9">
      <t>ホウ</t>
    </rPh>
    <phoneticPr fontId="21"/>
  </si>
  <si>
    <t>震災法35</t>
    <rPh sb="0" eb="2">
      <t>シンサイ</t>
    </rPh>
    <rPh sb="2" eb="3">
      <t>ホウ</t>
    </rPh>
    <phoneticPr fontId="21"/>
  </si>
  <si>
    <t>応急仮説住宅用地についての地価税の免除</t>
    <rPh sb="0" eb="2">
      <t>オウキュウ</t>
    </rPh>
    <rPh sb="2" eb="4">
      <t>カセツ</t>
    </rPh>
    <rPh sb="4" eb="6">
      <t>ジュウタク</t>
    </rPh>
    <rPh sb="6" eb="8">
      <t>ヨウチ</t>
    </rPh>
    <rPh sb="13" eb="16">
      <t>チカゼイ</t>
    </rPh>
    <rPh sb="17" eb="19">
      <t>メンジョ</t>
    </rPh>
    <phoneticPr fontId="21"/>
  </si>
  <si>
    <t>応急仮設住宅用地として7.6.30までに地方公共団体に使用貸借により貸し付けられた一定の土地等･･･免除</t>
    <rPh sb="0" eb="2">
      <t>オウキュウ</t>
    </rPh>
    <rPh sb="2" eb="4">
      <t>カセツ</t>
    </rPh>
    <rPh sb="4" eb="6">
      <t>ジュウタク</t>
    </rPh>
    <rPh sb="6" eb="8">
      <t>ヨウチ</t>
    </rPh>
    <rPh sb="20" eb="22">
      <t>チホウ</t>
    </rPh>
    <rPh sb="22" eb="24">
      <t>コウキョウ</t>
    </rPh>
    <rPh sb="24" eb="26">
      <t>ダンタイ</t>
    </rPh>
    <rPh sb="27" eb="29">
      <t>シヨウ</t>
    </rPh>
    <rPh sb="29" eb="31">
      <t>タイシャク</t>
    </rPh>
    <rPh sb="34" eb="35">
      <t>カ</t>
    </rPh>
    <rPh sb="36" eb="37">
      <t>ツ</t>
    </rPh>
    <rPh sb="41" eb="43">
      <t>イッテイ</t>
    </rPh>
    <rPh sb="44" eb="46">
      <t>トチ</t>
    </rPh>
    <rPh sb="46" eb="47">
      <t>トウ</t>
    </rPh>
    <rPh sb="50" eb="52">
      <t>メンジョ</t>
    </rPh>
    <phoneticPr fontId="21"/>
  </si>
  <si>
    <t>震災法36</t>
    <rPh sb="0" eb="2">
      <t>シンサイ</t>
    </rPh>
    <rPh sb="2" eb="3">
      <t>ホウ</t>
    </rPh>
    <phoneticPr fontId="21"/>
  </si>
  <si>
    <t>被災建物に代わる建物に係る保存登記等の免税</t>
    <rPh sb="0" eb="2">
      <t>ヒサイ</t>
    </rPh>
    <rPh sb="2" eb="4">
      <t>タテモノ</t>
    </rPh>
    <rPh sb="5" eb="6">
      <t>カ</t>
    </rPh>
    <rPh sb="8" eb="10">
      <t>タテモノ</t>
    </rPh>
    <rPh sb="11" eb="12">
      <t>カカ</t>
    </rPh>
    <rPh sb="13" eb="15">
      <t>ホゾン</t>
    </rPh>
    <rPh sb="15" eb="17">
      <t>トウキ</t>
    </rPh>
    <rPh sb="17" eb="18">
      <t>トウ</t>
    </rPh>
    <rPh sb="19" eb="21">
      <t>メンゼイ</t>
    </rPh>
    <phoneticPr fontId="21"/>
  </si>
  <si>
    <t>震災により被災した建物に代わる建物を取得する場合の所有権保存・移転登記，抵当権設定登記に係る登録免許税の免税</t>
    <rPh sb="0" eb="2">
      <t>シンサイ</t>
    </rPh>
    <rPh sb="5" eb="7">
      <t>ヒサイ</t>
    </rPh>
    <rPh sb="9" eb="11">
      <t>タテモノ</t>
    </rPh>
    <rPh sb="12" eb="13">
      <t>カ</t>
    </rPh>
    <rPh sb="15" eb="17">
      <t>タテモノ</t>
    </rPh>
    <rPh sb="18" eb="20">
      <t>シュトク</t>
    </rPh>
    <rPh sb="22" eb="24">
      <t>バアイ</t>
    </rPh>
    <rPh sb="25" eb="28">
      <t>ショユウケン</t>
    </rPh>
    <rPh sb="28" eb="30">
      <t>ホゾン</t>
    </rPh>
    <rPh sb="31" eb="33">
      <t>イテン</t>
    </rPh>
    <rPh sb="33" eb="35">
      <t>トウキ</t>
    </rPh>
    <rPh sb="36" eb="39">
      <t>テイトウケン</t>
    </rPh>
    <rPh sb="39" eb="41">
      <t>セッテイ</t>
    </rPh>
    <rPh sb="41" eb="43">
      <t>トウキ</t>
    </rPh>
    <rPh sb="44" eb="45">
      <t>カカ</t>
    </rPh>
    <rPh sb="46" eb="48">
      <t>トウロク</t>
    </rPh>
    <rPh sb="48" eb="51">
      <t>メンキョゼイ</t>
    </rPh>
    <rPh sb="52" eb="54">
      <t>メンゼイ</t>
    </rPh>
    <phoneticPr fontId="21"/>
  </si>
  <si>
    <t>7.4.1～12.
3.31の登記
⇒～17.3.31</t>
    <rPh sb="15" eb="17">
      <t>トウキ</t>
    </rPh>
    <phoneticPr fontId="21"/>
  </si>
  <si>
    <t>震災法37</t>
    <rPh sb="0" eb="2">
      <t>シンサイ</t>
    </rPh>
    <rPh sb="2" eb="3">
      <t>ホウ</t>
    </rPh>
    <phoneticPr fontId="21"/>
  </si>
  <si>
    <t>一定の共同住宅等の敷地の所有権移転登記の免税</t>
    <rPh sb="0" eb="2">
      <t>イッテイ</t>
    </rPh>
    <rPh sb="3" eb="5">
      <t>キョウドウ</t>
    </rPh>
    <rPh sb="5" eb="7">
      <t>ジュウタク</t>
    </rPh>
    <rPh sb="7" eb="8">
      <t>トウ</t>
    </rPh>
    <rPh sb="9" eb="11">
      <t>シキチ</t>
    </rPh>
    <rPh sb="12" eb="15">
      <t>ショユウケン</t>
    </rPh>
    <rPh sb="15" eb="17">
      <t>イテン</t>
    </rPh>
    <rPh sb="17" eb="19">
      <t>トウキ</t>
    </rPh>
    <rPh sb="20" eb="22">
      <t>メンゼイ</t>
    </rPh>
    <phoneticPr fontId="21"/>
  </si>
  <si>
    <t>被災者等が取得する一定の共同住宅等の敷地の所有権の移転登記に係る登録免許税の免税</t>
    <rPh sb="0" eb="2">
      <t>ヒサイ</t>
    </rPh>
    <rPh sb="2" eb="3">
      <t>シャ</t>
    </rPh>
    <rPh sb="3" eb="4">
      <t>トウ</t>
    </rPh>
    <rPh sb="5" eb="7">
      <t>シュトク</t>
    </rPh>
    <rPh sb="9" eb="11">
      <t>イッテイ</t>
    </rPh>
    <rPh sb="12" eb="14">
      <t>キョウドウ</t>
    </rPh>
    <rPh sb="14" eb="16">
      <t>ジュウタク</t>
    </rPh>
    <rPh sb="16" eb="17">
      <t>トウ</t>
    </rPh>
    <rPh sb="18" eb="20">
      <t>シキチ</t>
    </rPh>
    <rPh sb="21" eb="24">
      <t>ショユウケン</t>
    </rPh>
    <rPh sb="25" eb="27">
      <t>イテン</t>
    </rPh>
    <rPh sb="27" eb="29">
      <t>トウキ</t>
    </rPh>
    <rPh sb="30" eb="31">
      <t>カカ</t>
    </rPh>
    <rPh sb="32" eb="34">
      <t>トウロク</t>
    </rPh>
    <rPh sb="34" eb="37">
      <t>メンキョゼイ</t>
    </rPh>
    <rPh sb="38" eb="40">
      <t>メンゼイ</t>
    </rPh>
    <phoneticPr fontId="21"/>
  </si>
  <si>
    <t>10.4.1～12.
3.31の登記
⇒～17.3.31</t>
    <rPh sb="16" eb="18">
      <t>トウキ</t>
    </rPh>
    <phoneticPr fontId="21"/>
  </si>
  <si>
    <t>震災法38</t>
    <rPh sb="0" eb="2">
      <t>シンサイ</t>
    </rPh>
    <rPh sb="2" eb="3">
      <t>ホウ</t>
    </rPh>
    <phoneticPr fontId="21"/>
  </si>
  <si>
    <t>平10新設
平12延長</t>
    <rPh sb="0" eb="1">
      <t>ヘイ</t>
    </rPh>
    <rPh sb="3" eb="5">
      <t>シンセツ</t>
    </rPh>
    <rPh sb="7" eb="8">
      <t>ヘイ</t>
    </rPh>
    <rPh sb="10" eb="12">
      <t>エンチョウ</t>
    </rPh>
    <phoneticPr fontId="21"/>
  </si>
  <si>
    <t>最低資本金制度の特例に伴う軽減措置の特例</t>
    <rPh sb="0" eb="2">
      <t>サイテイ</t>
    </rPh>
    <rPh sb="2" eb="5">
      <t>シホンキン</t>
    </rPh>
    <rPh sb="5" eb="7">
      <t>セイド</t>
    </rPh>
    <rPh sb="8" eb="10">
      <t>トクレイ</t>
    </rPh>
    <rPh sb="11" eb="12">
      <t>トモナ</t>
    </rPh>
    <rPh sb="13" eb="15">
      <t>ケイゲン</t>
    </rPh>
    <rPh sb="15" eb="17">
      <t>ソチ</t>
    </rPh>
    <rPh sb="18" eb="20">
      <t>トクレイ</t>
    </rPh>
    <phoneticPr fontId="21"/>
  </si>
  <si>
    <t>最低資本金に関する経過措置の特例の延長に併せて，増資登記等の税率の軽減措置の適用期限を1年延長。</t>
    <rPh sb="0" eb="2">
      <t>サイテイ</t>
    </rPh>
    <rPh sb="2" eb="5">
      <t>シホンキン</t>
    </rPh>
    <rPh sb="6" eb="7">
      <t>カン</t>
    </rPh>
    <rPh sb="9" eb="11">
      <t>ケイカ</t>
    </rPh>
    <rPh sb="11" eb="13">
      <t>ソチ</t>
    </rPh>
    <rPh sb="14" eb="16">
      <t>トクレイ</t>
    </rPh>
    <rPh sb="17" eb="19">
      <t>エンチョウ</t>
    </rPh>
    <rPh sb="20" eb="21">
      <t>アワ</t>
    </rPh>
    <rPh sb="24" eb="26">
      <t>ゾウシ</t>
    </rPh>
    <rPh sb="26" eb="28">
      <t>トウキ</t>
    </rPh>
    <rPh sb="28" eb="29">
      <t>トウ</t>
    </rPh>
    <rPh sb="30" eb="32">
      <t>ゼイリツ</t>
    </rPh>
    <rPh sb="33" eb="35">
      <t>ケイゲン</t>
    </rPh>
    <rPh sb="35" eb="37">
      <t>ソチ</t>
    </rPh>
    <rPh sb="38" eb="40">
      <t>テキヨウ</t>
    </rPh>
    <rPh sb="40" eb="42">
      <t>キゲン</t>
    </rPh>
    <rPh sb="44" eb="45">
      <t>ネン</t>
    </rPh>
    <rPh sb="45" eb="47">
      <t>エンチョウ</t>
    </rPh>
    <phoneticPr fontId="21"/>
  </si>
  <si>
    <t>旧震災法38</t>
    <rPh sb="0" eb="1">
      <t>キュウ</t>
    </rPh>
    <rPh sb="1" eb="3">
      <t>シンサイ</t>
    </rPh>
    <rPh sb="3" eb="4">
      <t>ホウ</t>
    </rPh>
    <phoneticPr fontId="21"/>
  </si>
  <si>
    <t>印紙税</t>
    <rPh sb="0" eb="3">
      <t>インシゼイ</t>
    </rPh>
    <phoneticPr fontId="21"/>
  </si>
  <si>
    <t>消費貸借に関する契約書に係る印紙税の特例</t>
    <rPh sb="0" eb="2">
      <t>ショウヒ</t>
    </rPh>
    <rPh sb="2" eb="4">
      <t>タイシャク</t>
    </rPh>
    <rPh sb="5" eb="6">
      <t>カン</t>
    </rPh>
    <rPh sb="8" eb="11">
      <t>ケイヤクショ</t>
    </rPh>
    <rPh sb="12" eb="13">
      <t>カカ</t>
    </rPh>
    <rPh sb="14" eb="17">
      <t>インシゼイ</t>
    </rPh>
    <rPh sb="18" eb="20">
      <t>トクレイ</t>
    </rPh>
    <phoneticPr fontId="21"/>
  </si>
  <si>
    <t>政府系金融機関・地方公共団体等が行う特別貸付けに関して作成される消費貸借契約書の印紙税を非課税とする。</t>
    <rPh sb="0" eb="3">
      <t>セイフケイ</t>
    </rPh>
    <rPh sb="3" eb="5">
      <t>キンユウ</t>
    </rPh>
    <rPh sb="5" eb="7">
      <t>キカン</t>
    </rPh>
    <rPh sb="8" eb="10">
      <t>チホウ</t>
    </rPh>
    <rPh sb="10" eb="12">
      <t>コウキョウ</t>
    </rPh>
    <rPh sb="12" eb="14">
      <t>ダンタイ</t>
    </rPh>
    <rPh sb="14" eb="15">
      <t>トウ</t>
    </rPh>
    <rPh sb="16" eb="17">
      <t>オコナ</t>
    </rPh>
    <rPh sb="18" eb="20">
      <t>トクベツ</t>
    </rPh>
    <rPh sb="20" eb="22">
      <t>カシツ</t>
    </rPh>
    <rPh sb="24" eb="25">
      <t>カン</t>
    </rPh>
    <rPh sb="27" eb="29">
      <t>サクセイ</t>
    </rPh>
    <rPh sb="32" eb="34">
      <t>ショウヒ</t>
    </rPh>
    <rPh sb="34" eb="36">
      <t>タイシャク</t>
    </rPh>
    <rPh sb="36" eb="39">
      <t>ケイヤクショ</t>
    </rPh>
    <rPh sb="40" eb="43">
      <t>インシゼイ</t>
    </rPh>
    <rPh sb="44" eb="47">
      <t>ヒカゼイ</t>
    </rPh>
    <phoneticPr fontId="21"/>
  </si>
  <si>
    <t>7.1.17～12.
3.31の作成
⇒～17.3.31</t>
    <rPh sb="16" eb="18">
      <t>サクセイ</t>
    </rPh>
    <phoneticPr fontId="21"/>
  </si>
  <si>
    <t>震災法41</t>
    <rPh sb="0" eb="2">
      <t>シンサイ</t>
    </rPh>
    <rPh sb="2" eb="3">
      <t>ホウ</t>
    </rPh>
    <phoneticPr fontId="21"/>
  </si>
  <si>
    <t>平10期限延長
平12延長</t>
    <rPh sb="0" eb="1">
      <t>ヘイ</t>
    </rPh>
    <rPh sb="3" eb="5">
      <t>キゲン</t>
    </rPh>
    <rPh sb="5" eb="7">
      <t>エンチョウ</t>
    </rPh>
    <rPh sb="9" eb="10">
      <t>ヘイ</t>
    </rPh>
    <rPh sb="12" eb="14">
      <t>エンチョウ</t>
    </rPh>
    <phoneticPr fontId="21"/>
  </si>
  <si>
    <t>②税務執行面での対応の概要（国税関係）</t>
    <rPh sb="1" eb="3">
      <t>ゼイム</t>
    </rPh>
    <rPh sb="3" eb="5">
      <t>シッコウ</t>
    </rPh>
    <rPh sb="5" eb="6">
      <t>メン</t>
    </rPh>
    <rPh sb="8" eb="10">
      <t>タイオウ</t>
    </rPh>
    <rPh sb="11" eb="13">
      <t>ガイヨウ</t>
    </rPh>
    <rPh sb="14" eb="16">
      <t>コクゼイ</t>
    </rPh>
    <rPh sb="16" eb="18">
      <t>カンケイ</t>
    </rPh>
    <phoneticPr fontId="1"/>
  </si>
  <si>
    <t>雑損控除の適用における簡易計算</t>
    <rPh sb="0" eb="2">
      <t>ザッソン</t>
    </rPh>
    <rPh sb="2" eb="4">
      <t>コウジョ</t>
    </rPh>
    <rPh sb="5" eb="7">
      <t>テキヨウ</t>
    </rPh>
    <rPh sb="11" eb="13">
      <t>カンイ</t>
    </rPh>
    <rPh sb="13" eb="15">
      <t>ケイサン</t>
    </rPh>
    <phoneticPr fontId="21"/>
  </si>
  <si>
    <t>雑損控除の適用に当たり，簡易な方法により損害額の計算ができるよう取り扱う。</t>
    <rPh sb="0" eb="2">
      <t>ザッソン</t>
    </rPh>
    <rPh sb="2" eb="4">
      <t>コウジョ</t>
    </rPh>
    <rPh sb="5" eb="7">
      <t>テキヨウ</t>
    </rPh>
    <rPh sb="8" eb="9">
      <t>ア</t>
    </rPh>
    <rPh sb="12" eb="14">
      <t>カンイ</t>
    </rPh>
    <rPh sb="15" eb="17">
      <t>ホウホウ</t>
    </rPh>
    <rPh sb="20" eb="22">
      <t>ソンガイ</t>
    </rPh>
    <rPh sb="22" eb="23">
      <t>ガク</t>
    </rPh>
    <rPh sb="24" eb="26">
      <t>ケイサン</t>
    </rPh>
    <rPh sb="32" eb="33">
      <t>ト</t>
    </rPh>
    <rPh sb="34" eb="35">
      <t>アツカ</t>
    </rPh>
    <phoneticPr fontId="21"/>
  </si>
  <si>
    <t>寄附金控除等</t>
    <rPh sb="0" eb="3">
      <t>キフキン</t>
    </rPh>
    <rPh sb="3" eb="5">
      <t>コウジョ</t>
    </rPh>
    <rPh sb="5" eb="6">
      <t>トウ</t>
    </rPh>
    <phoneticPr fontId="21"/>
  </si>
  <si>
    <t>寄附金控除等に関する募金団体に対する税務上の確認手続き等を簡素化</t>
    <rPh sb="0" eb="3">
      <t>キフキン</t>
    </rPh>
    <rPh sb="3" eb="5">
      <t>コウジョ</t>
    </rPh>
    <rPh sb="5" eb="6">
      <t>トウ</t>
    </rPh>
    <rPh sb="7" eb="8">
      <t>カン</t>
    </rPh>
    <rPh sb="10" eb="12">
      <t>ボキン</t>
    </rPh>
    <rPh sb="12" eb="14">
      <t>ダンタイ</t>
    </rPh>
    <rPh sb="15" eb="16">
      <t>タイ</t>
    </rPh>
    <rPh sb="18" eb="20">
      <t>ゼイム</t>
    </rPh>
    <rPh sb="20" eb="21">
      <t>ジョウ</t>
    </rPh>
    <rPh sb="22" eb="24">
      <t>カクニン</t>
    </rPh>
    <rPh sb="24" eb="26">
      <t>テツヅ</t>
    </rPh>
    <rPh sb="27" eb="28">
      <t>トウ</t>
    </rPh>
    <rPh sb="29" eb="32">
      <t>カンソカ</t>
    </rPh>
    <phoneticPr fontId="21"/>
  </si>
  <si>
    <t>諸費用の取扱い</t>
    <rPh sb="0" eb="3">
      <t>ショヒヨウ</t>
    </rPh>
    <rPh sb="4" eb="6">
      <t>トリアツカ</t>
    </rPh>
    <phoneticPr fontId="21"/>
  </si>
  <si>
    <t>被災した資産の修繕費用等の取扱い，被災した取引先や従業員に対する見舞金の取扱いについて，通達を発遣し，取扱いを明示。</t>
    <rPh sb="0" eb="2">
      <t>ヒサイ</t>
    </rPh>
    <rPh sb="4" eb="6">
      <t>シサン</t>
    </rPh>
    <rPh sb="7" eb="9">
      <t>シュウゼン</t>
    </rPh>
    <rPh sb="9" eb="11">
      <t>ヒヨウ</t>
    </rPh>
    <rPh sb="11" eb="12">
      <t>トウ</t>
    </rPh>
    <rPh sb="13" eb="15">
      <t>トリアツカ</t>
    </rPh>
    <rPh sb="17" eb="19">
      <t>ヒサイ</t>
    </rPh>
    <rPh sb="21" eb="23">
      <t>トリヒキ</t>
    </rPh>
    <rPh sb="23" eb="24">
      <t>サキ</t>
    </rPh>
    <rPh sb="25" eb="28">
      <t>ジュウギョウイン</t>
    </rPh>
    <rPh sb="29" eb="30">
      <t>タイ</t>
    </rPh>
    <rPh sb="32" eb="34">
      <t>ミマイ</t>
    </rPh>
    <rPh sb="34" eb="35">
      <t>キン</t>
    </rPh>
    <rPh sb="36" eb="38">
      <t>トリアツカ</t>
    </rPh>
    <rPh sb="44" eb="46">
      <t>ツウタツ</t>
    </rPh>
    <rPh sb="47" eb="48">
      <t>ハツ</t>
    </rPh>
    <rPh sb="48" eb="49">
      <t>ケン</t>
    </rPh>
    <rPh sb="51" eb="53">
      <t>トリアツカ</t>
    </rPh>
    <rPh sb="55" eb="57">
      <t>メイジ</t>
    </rPh>
    <phoneticPr fontId="21"/>
  </si>
  <si>
    <t>納税猶予適用農地</t>
    <rPh sb="0" eb="2">
      <t>ノウゼイ</t>
    </rPh>
    <rPh sb="2" eb="4">
      <t>ユウヨ</t>
    </rPh>
    <rPh sb="4" eb="6">
      <t>テキヨウ</t>
    </rPh>
    <rPh sb="6" eb="8">
      <t>ノウチ</t>
    </rPh>
    <phoneticPr fontId="21"/>
  </si>
  <si>
    <t>応急仮説住宅用地として相続税・贈与税の納税猶予適用農地を市町村に一時使用させる場合について，一定の要件の下で，納税猶予の継続等を認める。</t>
    <rPh sb="0" eb="2">
      <t>オウキュウ</t>
    </rPh>
    <rPh sb="2" eb="4">
      <t>カセツ</t>
    </rPh>
    <rPh sb="4" eb="6">
      <t>ジュウタク</t>
    </rPh>
    <rPh sb="6" eb="8">
      <t>ヨウチ</t>
    </rPh>
    <rPh sb="11" eb="14">
      <t>ソウゾクゼイ</t>
    </rPh>
    <rPh sb="15" eb="18">
      <t>ゾウヨゼイ</t>
    </rPh>
    <rPh sb="19" eb="21">
      <t>ノウゼイ</t>
    </rPh>
    <rPh sb="21" eb="23">
      <t>ユウヨ</t>
    </rPh>
    <rPh sb="23" eb="25">
      <t>テキヨウ</t>
    </rPh>
    <rPh sb="25" eb="27">
      <t>ノウチ</t>
    </rPh>
    <rPh sb="28" eb="30">
      <t>シチョウ</t>
    </rPh>
    <rPh sb="30" eb="31">
      <t>ソン</t>
    </rPh>
    <rPh sb="32" eb="34">
      <t>イチジ</t>
    </rPh>
    <rPh sb="34" eb="36">
      <t>シヨウ</t>
    </rPh>
    <rPh sb="39" eb="41">
      <t>バアイ</t>
    </rPh>
    <rPh sb="46" eb="48">
      <t>イッテイ</t>
    </rPh>
    <rPh sb="49" eb="51">
      <t>ヨウケン</t>
    </rPh>
    <rPh sb="52" eb="53">
      <t>モト</t>
    </rPh>
    <rPh sb="55" eb="57">
      <t>ノウゼイ</t>
    </rPh>
    <rPh sb="57" eb="59">
      <t>ユウヨ</t>
    </rPh>
    <rPh sb="60" eb="62">
      <t>ケイゾク</t>
    </rPh>
    <rPh sb="62" eb="63">
      <t>トウ</t>
    </rPh>
    <rPh sb="64" eb="65">
      <t>ミト</t>
    </rPh>
    <phoneticPr fontId="21"/>
  </si>
  <si>
    <t>酒税</t>
    <rPh sb="0" eb="1">
      <t>シュ</t>
    </rPh>
    <rPh sb="1" eb="2">
      <t>ゼイ</t>
    </rPh>
    <phoneticPr fontId="21"/>
  </si>
  <si>
    <t>手続の簡素化等</t>
    <rPh sb="0" eb="2">
      <t>テツヅキ</t>
    </rPh>
    <rPh sb="3" eb="6">
      <t>カンソカ</t>
    </rPh>
    <rPh sb="6" eb="7">
      <t>トウ</t>
    </rPh>
    <phoneticPr fontId="21"/>
  </si>
  <si>
    <t>・被災した酒類製造場等に係る酒類について，貯蔵，瓶詰を委託する場合などにおける未納税移出手続等を弾力的に取り扱っている。
・被災した酒類製造場及び販売場等の移転，仮移転の手続きを簡素化している。
・被災酒類に係る酒税額の還付手続きを簡素化している。</t>
    <rPh sb="1" eb="3">
      <t>ヒサイ</t>
    </rPh>
    <rPh sb="5" eb="7">
      <t>シュルイ</t>
    </rPh>
    <rPh sb="7" eb="9">
      <t>セイゾウ</t>
    </rPh>
    <rPh sb="9" eb="10">
      <t>ジョウ</t>
    </rPh>
    <rPh sb="10" eb="11">
      <t>トウ</t>
    </rPh>
    <rPh sb="12" eb="13">
      <t>カカ</t>
    </rPh>
    <rPh sb="14" eb="16">
      <t>シュルイ</t>
    </rPh>
    <rPh sb="21" eb="23">
      <t>チョゾウ</t>
    </rPh>
    <rPh sb="24" eb="26">
      <t>ビンヅ</t>
    </rPh>
    <rPh sb="27" eb="29">
      <t>イタク</t>
    </rPh>
    <rPh sb="31" eb="33">
      <t>バアイ</t>
    </rPh>
    <rPh sb="39" eb="40">
      <t>ミ</t>
    </rPh>
    <rPh sb="40" eb="42">
      <t>ノウゼイ</t>
    </rPh>
    <rPh sb="42" eb="44">
      <t>イシュツ</t>
    </rPh>
    <rPh sb="44" eb="46">
      <t>テツヅ</t>
    </rPh>
    <rPh sb="46" eb="47">
      <t>トウ</t>
    </rPh>
    <rPh sb="52" eb="53">
      <t>ト</t>
    </rPh>
    <rPh sb="54" eb="55">
      <t>アツカ</t>
    </rPh>
    <rPh sb="62" eb="64">
      <t>ヒサイ</t>
    </rPh>
    <rPh sb="66" eb="68">
      <t>シュルイ</t>
    </rPh>
    <rPh sb="68" eb="70">
      <t>セイゾウ</t>
    </rPh>
    <rPh sb="70" eb="71">
      <t>ジョウ</t>
    </rPh>
    <rPh sb="71" eb="72">
      <t>オヨ</t>
    </rPh>
    <rPh sb="73" eb="75">
      <t>ハンバイ</t>
    </rPh>
    <rPh sb="75" eb="76">
      <t>ジョウ</t>
    </rPh>
    <rPh sb="76" eb="77">
      <t>トウ</t>
    </rPh>
    <rPh sb="78" eb="80">
      <t>イテン</t>
    </rPh>
    <rPh sb="81" eb="82">
      <t>カリ</t>
    </rPh>
    <rPh sb="82" eb="84">
      <t>イテン</t>
    </rPh>
    <rPh sb="85" eb="87">
      <t>テツヅ</t>
    </rPh>
    <rPh sb="89" eb="92">
      <t>カンソカ</t>
    </rPh>
    <rPh sb="99" eb="101">
      <t>ヒサイ</t>
    </rPh>
    <rPh sb="101" eb="103">
      <t>シュルイ</t>
    </rPh>
    <rPh sb="104" eb="105">
      <t>カカ</t>
    </rPh>
    <rPh sb="106" eb="107">
      <t>シュ</t>
    </rPh>
    <rPh sb="107" eb="108">
      <t>ゼイ</t>
    </rPh>
    <rPh sb="108" eb="109">
      <t>ガク</t>
    </rPh>
    <rPh sb="110" eb="112">
      <t>カンプ</t>
    </rPh>
    <rPh sb="112" eb="114">
      <t>テツヅ</t>
    </rPh>
    <rPh sb="116" eb="119">
      <t>カンソカ</t>
    </rPh>
    <phoneticPr fontId="21"/>
  </si>
  <si>
    <t>③地方税（市町村税）関係措置【神戸市税に関するもの】</t>
    <rPh sb="1" eb="4">
      <t>チホウゼイ</t>
    </rPh>
    <rPh sb="5" eb="7">
      <t>シチョウ</t>
    </rPh>
    <rPh sb="7" eb="9">
      <t>ソンゼイ</t>
    </rPh>
    <rPh sb="10" eb="12">
      <t>カンケイ</t>
    </rPh>
    <rPh sb="12" eb="14">
      <t>ソチ</t>
    </rPh>
    <rPh sb="15" eb="18">
      <t>コウベシ</t>
    </rPh>
    <rPh sb="18" eb="19">
      <t>ゼイ</t>
    </rPh>
    <rPh sb="20" eb="21">
      <t>カン</t>
    </rPh>
    <phoneticPr fontId="1"/>
  </si>
  <si>
    <t>個人市民税（特別徴収）の納期限　　平成7年3月31日
法人市民税の申告納付期限　　　　　平成7年5月31日
上記以外の市税の納付期限　　　　　平成7年5月26日（※）
法人市民税の申告　　　　申請により平成8年1月31日
個人住民税の申告　　　　申請により平成8年3月15日</t>
    <rPh sb="0" eb="2">
      <t>コジン</t>
    </rPh>
    <rPh sb="2" eb="5">
      <t>シミンゼイ</t>
    </rPh>
    <rPh sb="6" eb="8">
      <t>トクベツ</t>
    </rPh>
    <rPh sb="8" eb="10">
      <t>チョウシュウ</t>
    </rPh>
    <rPh sb="12" eb="15">
      <t>ノウキゲン</t>
    </rPh>
    <rPh sb="17" eb="19">
      <t>ヘイセイ</t>
    </rPh>
    <rPh sb="20" eb="21">
      <t>ネン</t>
    </rPh>
    <rPh sb="22" eb="23">
      <t>ガツ</t>
    </rPh>
    <rPh sb="25" eb="26">
      <t>ニチ</t>
    </rPh>
    <rPh sb="27" eb="29">
      <t>ホウジン</t>
    </rPh>
    <rPh sb="29" eb="32">
      <t>シミンゼイ</t>
    </rPh>
    <rPh sb="33" eb="35">
      <t>シンコク</t>
    </rPh>
    <rPh sb="35" eb="37">
      <t>ノウフ</t>
    </rPh>
    <rPh sb="37" eb="39">
      <t>キゲン</t>
    </rPh>
    <rPh sb="44" eb="46">
      <t>ヘイセイ</t>
    </rPh>
    <rPh sb="47" eb="48">
      <t>ネン</t>
    </rPh>
    <rPh sb="49" eb="50">
      <t>ガツ</t>
    </rPh>
    <rPh sb="52" eb="53">
      <t>ニチ</t>
    </rPh>
    <rPh sb="54" eb="56">
      <t>ジョウキ</t>
    </rPh>
    <rPh sb="56" eb="58">
      <t>イガイ</t>
    </rPh>
    <rPh sb="59" eb="61">
      <t>シゼイ</t>
    </rPh>
    <rPh sb="62" eb="64">
      <t>ノウフ</t>
    </rPh>
    <rPh sb="64" eb="66">
      <t>キゲン</t>
    </rPh>
    <rPh sb="71" eb="73">
      <t>ヘイセイ</t>
    </rPh>
    <rPh sb="74" eb="75">
      <t>ネン</t>
    </rPh>
    <rPh sb="76" eb="77">
      <t>ガツ</t>
    </rPh>
    <rPh sb="79" eb="80">
      <t>ニチ</t>
    </rPh>
    <rPh sb="84" eb="86">
      <t>ホウジン</t>
    </rPh>
    <rPh sb="86" eb="89">
      <t>シミンゼイ</t>
    </rPh>
    <rPh sb="90" eb="92">
      <t>シンコク</t>
    </rPh>
    <rPh sb="96" eb="98">
      <t>シンセイ</t>
    </rPh>
    <rPh sb="101" eb="103">
      <t>ヘイセイ</t>
    </rPh>
    <rPh sb="104" eb="105">
      <t>ネン</t>
    </rPh>
    <rPh sb="106" eb="107">
      <t>ガツ</t>
    </rPh>
    <rPh sb="109" eb="110">
      <t>ニチ</t>
    </rPh>
    <rPh sb="111" eb="113">
      <t>コジン</t>
    </rPh>
    <rPh sb="113" eb="116">
      <t>ジュウミンゼイ</t>
    </rPh>
    <rPh sb="117" eb="119">
      <t>シンコク</t>
    </rPh>
    <rPh sb="123" eb="125">
      <t>シンセイ</t>
    </rPh>
    <rPh sb="128" eb="130">
      <t>ヘイセイ</t>
    </rPh>
    <rPh sb="131" eb="132">
      <t>ネン</t>
    </rPh>
    <rPh sb="133" eb="134">
      <t>ガツ</t>
    </rPh>
    <rPh sb="136" eb="137">
      <t>ニチ</t>
    </rPh>
    <phoneticPr fontId="21"/>
  </si>
  <si>
    <t>地法20の5の2
自治省通達
条例</t>
    <rPh sb="0" eb="1">
      <t>チ</t>
    </rPh>
    <rPh sb="1" eb="2">
      <t>ホウ</t>
    </rPh>
    <rPh sb="9" eb="12">
      <t>ジチショウ</t>
    </rPh>
    <rPh sb="12" eb="14">
      <t>ツウタツ</t>
    </rPh>
    <rPh sb="15" eb="17">
      <t>ジョウレイ</t>
    </rPh>
    <phoneticPr fontId="21"/>
  </si>
  <si>
    <t>個人の
住民税</t>
    <rPh sb="0" eb="2">
      <t>コジン</t>
    </rPh>
    <rPh sb="4" eb="7">
      <t>ジュウミンゼイ</t>
    </rPh>
    <phoneticPr fontId="21"/>
  </si>
  <si>
    <t>雑損控除・被災事業用資産等の損失額の必要経費算入の適用の特例</t>
    <rPh sb="0" eb="2">
      <t>ザッソン</t>
    </rPh>
    <rPh sb="2" eb="4">
      <t>コウジョ</t>
    </rPh>
    <rPh sb="5" eb="7">
      <t>ヒサイ</t>
    </rPh>
    <rPh sb="7" eb="10">
      <t>ジギョウヨウ</t>
    </rPh>
    <rPh sb="10" eb="12">
      <t>シサン</t>
    </rPh>
    <rPh sb="12" eb="13">
      <t>トウ</t>
    </rPh>
    <rPh sb="14" eb="16">
      <t>ソンシツ</t>
    </rPh>
    <rPh sb="16" eb="17">
      <t>ガク</t>
    </rPh>
    <rPh sb="18" eb="20">
      <t>ヒツヨウ</t>
    </rPh>
    <rPh sb="20" eb="22">
      <t>ケイヒ</t>
    </rPh>
    <rPh sb="22" eb="24">
      <t>サンニュウ</t>
    </rPh>
    <rPh sb="25" eb="27">
      <t>テキヨウ</t>
    </rPh>
    <rPh sb="28" eb="30">
      <t>トクレイ</t>
    </rPh>
    <phoneticPr fontId="21"/>
  </si>
  <si>
    <t>平成7年度分</t>
    <rPh sb="0" eb="2">
      <t>ヘイセイ</t>
    </rPh>
    <rPh sb="3" eb="6">
      <t>ネンドブン</t>
    </rPh>
    <phoneticPr fontId="21"/>
  </si>
  <si>
    <t>地法附4の3</t>
    <rPh sb="0" eb="1">
      <t>チ</t>
    </rPh>
    <rPh sb="1" eb="2">
      <t>ホウ</t>
    </rPh>
    <rPh sb="2" eb="3">
      <t>フ</t>
    </rPh>
    <phoneticPr fontId="21"/>
  </si>
  <si>
    <t>確定優良住宅地等予定地の譲渡に該当するための期間の延長</t>
    <rPh sb="0" eb="2">
      <t>カクテイ</t>
    </rPh>
    <rPh sb="2" eb="4">
      <t>ユウリョウ</t>
    </rPh>
    <rPh sb="4" eb="7">
      <t>ジュウタクチ</t>
    </rPh>
    <rPh sb="7" eb="8">
      <t>トウ</t>
    </rPh>
    <rPh sb="8" eb="11">
      <t>ヨテイチ</t>
    </rPh>
    <rPh sb="12" eb="14">
      <t>ジョウト</t>
    </rPh>
    <rPh sb="15" eb="17">
      <t>ガイトウ</t>
    </rPh>
    <rPh sb="22" eb="24">
      <t>キカン</t>
    </rPh>
    <rPh sb="25" eb="27">
      <t>エンチョウ</t>
    </rPh>
    <phoneticPr fontId="21"/>
  </si>
  <si>
    <t>確定優良住宅地等予定地のための譲渡として軽減税率の適用を受けた民間事業者が，大震災により7.12.31までの予定期間内に開発許可等を受けることが困難となった場合にその期間の延長が認められる。</t>
    <rPh sb="0" eb="2">
      <t>カクテイ</t>
    </rPh>
    <rPh sb="2" eb="4">
      <t>ユウリョウ</t>
    </rPh>
    <rPh sb="4" eb="7">
      <t>ジュウタクチ</t>
    </rPh>
    <rPh sb="7" eb="8">
      <t>トウ</t>
    </rPh>
    <rPh sb="8" eb="11">
      <t>ヨテイチ</t>
    </rPh>
    <rPh sb="15" eb="17">
      <t>ジョウト</t>
    </rPh>
    <rPh sb="20" eb="22">
      <t>ケイゲン</t>
    </rPh>
    <rPh sb="22" eb="24">
      <t>ゼイリツ</t>
    </rPh>
    <rPh sb="25" eb="27">
      <t>テキヨウ</t>
    </rPh>
    <rPh sb="28" eb="29">
      <t>ウ</t>
    </rPh>
    <rPh sb="31" eb="33">
      <t>ミンカン</t>
    </rPh>
    <rPh sb="33" eb="35">
      <t>ジギョウ</t>
    </rPh>
    <rPh sb="35" eb="36">
      <t>シャ</t>
    </rPh>
    <rPh sb="38" eb="41">
      <t>ダイシンサイ</t>
    </rPh>
    <rPh sb="54" eb="56">
      <t>ヨテイ</t>
    </rPh>
    <rPh sb="56" eb="59">
      <t>キカンナイ</t>
    </rPh>
    <rPh sb="60" eb="62">
      <t>カイハツ</t>
    </rPh>
    <rPh sb="62" eb="64">
      <t>キョカ</t>
    </rPh>
    <rPh sb="64" eb="65">
      <t>トウ</t>
    </rPh>
    <rPh sb="66" eb="67">
      <t>ウ</t>
    </rPh>
    <rPh sb="72" eb="74">
      <t>コンナン</t>
    </rPh>
    <rPh sb="78" eb="80">
      <t>バアイ</t>
    </rPh>
    <rPh sb="83" eb="85">
      <t>キカン</t>
    </rPh>
    <rPh sb="86" eb="88">
      <t>エンチョウ</t>
    </rPh>
    <rPh sb="89" eb="90">
      <t>ミト</t>
    </rPh>
    <phoneticPr fontId="21"/>
  </si>
  <si>
    <t>2年間以内の
期間延長</t>
    <rPh sb="1" eb="3">
      <t>ネンカン</t>
    </rPh>
    <rPh sb="3" eb="5">
      <t>イナイ</t>
    </rPh>
    <rPh sb="7" eb="9">
      <t>キカン</t>
    </rPh>
    <rPh sb="9" eb="11">
      <t>エンチョウ</t>
    </rPh>
    <phoneticPr fontId="21"/>
  </si>
  <si>
    <t>地法附34の2の2</t>
    <rPh sb="0" eb="1">
      <t>チ</t>
    </rPh>
    <rPh sb="1" eb="2">
      <t>ホウ</t>
    </rPh>
    <rPh sb="2" eb="3">
      <t>フ</t>
    </rPh>
    <phoneticPr fontId="21"/>
  </si>
  <si>
    <t>災害減免〈一般制度〉（自治省通達改正に伴い所得要件緩和）</t>
    <rPh sb="0" eb="2">
      <t>サイガイ</t>
    </rPh>
    <rPh sb="2" eb="4">
      <t>ゲンメン</t>
    </rPh>
    <rPh sb="11" eb="14">
      <t>ジチショウ</t>
    </rPh>
    <rPh sb="14" eb="16">
      <t>ツウタツ</t>
    </rPh>
    <rPh sb="16" eb="18">
      <t>カイセイ</t>
    </rPh>
    <rPh sb="19" eb="20">
      <t>トモナ</t>
    </rPh>
    <rPh sb="21" eb="23">
      <t>ショトク</t>
    </rPh>
    <rPh sb="23" eb="25">
      <t>ヨウケン</t>
    </rPh>
    <rPh sb="25" eb="27">
      <t>カンワ</t>
    </rPh>
    <phoneticPr fontId="21"/>
  </si>
  <si>
    <t>前年所得が1,000万円以下で家屋等の損害の程度が3割以上の場合に，その損害割合及び前年所得に応じて1／8減額から免除。</t>
    <rPh sb="0" eb="2">
      <t>ゼンネン</t>
    </rPh>
    <rPh sb="2" eb="4">
      <t>ショトク</t>
    </rPh>
    <rPh sb="10" eb="12">
      <t>マンエン</t>
    </rPh>
    <rPh sb="12" eb="14">
      <t>イカ</t>
    </rPh>
    <rPh sb="15" eb="17">
      <t>カオク</t>
    </rPh>
    <rPh sb="17" eb="18">
      <t>トウ</t>
    </rPh>
    <rPh sb="19" eb="21">
      <t>ソンガイ</t>
    </rPh>
    <rPh sb="22" eb="24">
      <t>テイド</t>
    </rPh>
    <rPh sb="26" eb="29">
      <t>ワリイジョウ</t>
    </rPh>
    <rPh sb="30" eb="32">
      <t>バアイ</t>
    </rPh>
    <rPh sb="36" eb="38">
      <t>ソンガイ</t>
    </rPh>
    <rPh sb="38" eb="40">
      <t>ワリアイ</t>
    </rPh>
    <rPh sb="40" eb="41">
      <t>オヨ</t>
    </rPh>
    <rPh sb="42" eb="44">
      <t>ゼンネン</t>
    </rPh>
    <rPh sb="44" eb="46">
      <t>ショトク</t>
    </rPh>
    <rPh sb="47" eb="48">
      <t>オウ</t>
    </rPh>
    <rPh sb="53" eb="54">
      <t>ゲン</t>
    </rPh>
    <rPh sb="54" eb="55">
      <t>ガク</t>
    </rPh>
    <rPh sb="57" eb="59">
      <t>メンジョ</t>
    </rPh>
    <phoneticPr fontId="21"/>
  </si>
  <si>
    <t>平成6年度第4期分
平成7年度分</t>
    <rPh sb="0" eb="2">
      <t>ヘイセイ</t>
    </rPh>
    <rPh sb="3" eb="5">
      <t>ネンド</t>
    </rPh>
    <rPh sb="5" eb="6">
      <t>ダイ</t>
    </rPh>
    <rPh sb="7" eb="9">
      <t>キブン</t>
    </rPh>
    <rPh sb="10" eb="12">
      <t>ヘイセイ</t>
    </rPh>
    <rPh sb="13" eb="15">
      <t>ネンド</t>
    </rPh>
    <rPh sb="15" eb="16">
      <t>ブン</t>
    </rPh>
    <phoneticPr fontId="21"/>
  </si>
  <si>
    <t>自治省通達
条例</t>
    <rPh sb="0" eb="3">
      <t>ジチショウ</t>
    </rPh>
    <rPh sb="3" eb="5">
      <t>ツウタツ</t>
    </rPh>
    <rPh sb="6" eb="8">
      <t>ジョウレイ</t>
    </rPh>
    <phoneticPr fontId="21"/>
  </si>
  <si>
    <t>法　人
市民税</t>
    <rPh sb="0" eb="1">
      <t>ホウ</t>
    </rPh>
    <rPh sb="2" eb="3">
      <t>ヒト</t>
    </rPh>
    <rPh sb="4" eb="7">
      <t>シミンゼイ</t>
    </rPh>
    <phoneticPr fontId="21"/>
  </si>
  <si>
    <t>休業減免（均等割）
〈一般制度〉</t>
    <rPh sb="0" eb="2">
      <t>キュウギョウ</t>
    </rPh>
    <rPh sb="2" eb="4">
      <t>ゲンメン</t>
    </rPh>
    <rPh sb="5" eb="8">
      <t>キントウワリ</t>
    </rPh>
    <rPh sb="11" eb="13">
      <t>イッパン</t>
    </rPh>
    <rPh sb="13" eb="15">
      <t>セイド</t>
    </rPh>
    <phoneticPr fontId="21"/>
  </si>
  <si>
    <t>震災に伴い事業を休止した場合は，休止期間について均等割を1／2軽減</t>
    <rPh sb="0" eb="2">
      <t>シンサイ</t>
    </rPh>
    <rPh sb="3" eb="4">
      <t>トモナ</t>
    </rPh>
    <rPh sb="5" eb="7">
      <t>ジギョウ</t>
    </rPh>
    <rPh sb="8" eb="10">
      <t>キュウシ</t>
    </rPh>
    <rPh sb="12" eb="14">
      <t>バアイ</t>
    </rPh>
    <rPh sb="16" eb="18">
      <t>キュウシ</t>
    </rPh>
    <rPh sb="18" eb="20">
      <t>キカン</t>
    </rPh>
    <rPh sb="24" eb="27">
      <t>キントウワリ</t>
    </rPh>
    <rPh sb="31" eb="33">
      <t>ケイゲン</t>
    </rPh>
    <phoneticPr fontId="21"/>
  </si>
  <si>
    <t>休止期間</t>
    <rPh sb="0" eb="2">
      <t>キュウシ</t>
    </rPh>
    <rPh sb="2" eb="4">
      <t>キカン</t>
    </rPh>
    <phoneticPr fontId="21"/>
  </si>
  <si>
    <t>条例</t>
    <rPh sb="0" eb="2">
      <t>ジョウレイ</t>
    </rPh>
    <phoneticPr fontId="21"/>
  </si>
  <si>
    <t>固　定
資産税</t>
    <rPh sb="0" eb="1">
      <t>ガタマリ</t>
    </rPh>
    <rPh sb="2" eb="3">
      <t>サダム</t>
    </rPh>
    <rPh sb="4" eb="7">
      <t>シサンゼイ</t>
    </rPh>
    <phoneticPr fontId="21"/>
  </si>
  <si>
    <t>災害減免〈一般制度〉</t>
    <rPh sb="0" eb="2">
      <t>サイガイ</t>
    </rPh>
    <rPh sb="2" eb="4">
      <t>ゲンメン</t>
    </rPh>
    <phoneticPr fontId="21"/>
  </si>
  <si>
    <t>災害減免（土地）の継続</t>
    <rPh sb="0" eb="2">
      <t>サイガイ</t>
    </rPh>
    <rPh sb="2" eb="4">
      <t>ゲンメン</t>
    </rPh>
    <rPh sb="5" eb="7">
      <t>トチ</t>
    </rPh>
    <rPh sb="9" eb="11">
      <t>ケイゾク</t>
    </rPh>
    <phoneticPr fontId="21"/>
  </si>
  <si>
    <t>平8.1.1現在未修復の土地について，評価替え（崖地補正）と併せて平成7年度と同水準の税負担となるよう，被害の程度に応じて減免する。</t>
    <rPh sb="0" eb="1">
      <t>ヘイ</t>
    </rPh>
    <rPh sb="6" eb="8">
      <t>ゲンザイ</t>
    </rPh>
    <rPh sb="8" eb="9">
      <t>ミ</t>
    </rPh>
    <rPh sb="9" eb="11">
      <t>シュウフク</t>
    </rPh>
    <rPh sb="12" eb="14">
      <t>トチ</t>
    </rPh>
    <rPh sb="19" eb="21">
      <t>ヒョウカ</t>
    </rPh>
    <rPh sb="21" eb="22">
      <t>ガ</t>
    </rPh>
    <rPh sb="24" eb="25">
      <t>ガケ</t>
    </rPh>
    <rPh sb="25" eb="26">
      <t>チ</t>
    </rPh>
    <rPh sb="26" eb="28">
      <t>ホセイ</t>
    </rPh>
    <rPh sb="30" eb="31">
      <t>アワ</t>
    </rPh>
    <rPh sb="33" eb="35">
      <t>ヘイセイ</t>
    </rPh>
    <rPh sb="36" eb="38">
      <t>ネンド</t>
    </rPh>
    <rPh sb="39" eb="42">
      <t>ドウスイジュン</t>
    </rPh>
    <rPh sb="43" eb="46">
      <t>ゼイフタン</t>
    </rPh>
    <rPh sb="52" eb="54">
      <t>ヒガイ</t>
    </rPh>
    <rPh sb="55" eb="57">
      <t>テイド</t>
    </rPh>
    <rPh sb="58" eb="59">
      <t>オウ</t>
    </rPh>
    <rPh sb="61" eb="63">
      <t>ゲンメン</t>
    </rPh>
    <phoneticPr fontId="21"/>
  </si>
  <si>
    <t>平成8年度分</t>
    <rPh sb="0" eb="2">
      <t>ヘイセイ</t>
    </rPh>
    <rPh sb="3" eb="6">
      <t>ネンドブン</t>
    </rPh>
    <phoneticPr fontId="21"/>
  </si>
  <si>
    <t>特別減免</t>
    <rPh sb="0" eb="2">
      <t>トクベツ</t>
    </rPh>
    <rPh sb="2" eb="4">
      <t>ゲンメン</t>
    </rPh>
    <phoneticPr fontId="21"/>
  </si>
  <si>
    <t>自治省回答
条例</t>
    <rPh sb="0" eb="3">
      <t>ジチショウ</t>
    </rPh>
    <rPh sb="3" eb="5">
      <t>カイトウ</t>
    </rPh>
    <rPh sb="6" eb="8">
      <t>ジョウレイ</t>
    </rPh>
    <phoneticPr fontId="21"/>
  </si>
  <si>
    <t>特別減免（土地）の継続</t>
    <rPh sb="0" eb="2">
      <t>トクベツ</t>
    </rPh>
    <rPh sb="2" eb="4">
      <t>ゲンメン</t>
    </rPh>
    <rPh sb="5" eb="7">
      <t>トチ</t>
    </rPh>
    <rPh sb="9" eb="11">
      <t>ケイゾク</t>
    </rPh>
    <phoneticPr fontId="21"/>
  </si>
  <si>
    <t>震災によって利用に著しい制約を生じた旧市街地の宅地
･･･利用の制約の程度に応じて5％・10％軽減</t>
    <rPh sb="0" eb="2">
      <t>シンサイ</t>
    </rPh>
    <rPh sb="6" eb="8">
      <t>リヨウ</t>
    </rPh>
    <rPh sb="9" eb="10">
      <t>イチジル</t>
    </rPh>
    <rPh sb="12" eb="14">
      <t>セイヤク</t>
    </rPh>
    <rPh sb="15" eb="16">
      <t>ショウ</t>
    </rPh>
    <rPh sb="18" eb="22">
      <t>キュウシガイチ</t>
    </rPh>
    <rPh sb="23" eb="25">
      <t>タクチ</t>
    </rPh>
    <rPh sb="29" eb="31">
      <t>リヨウ</t>
    </rPh>
    <rPh sb="32" eb="34">
      <t>セイヤク</t>
    </rPh>
    <rPh sb="35" eb="37">
      <t>テイド</t>
    </rPh>
    <rPh sb="38" eb="39">
      <t>オウ</t>
    </rPh>
    <rPh sb="47" eb="49">
      <t>ケイゲン</t>
    </rPh>
    <phoneticPr fontId="21"/>
  </si>
  <si>
    <t>被災家屋・償却資産の代替資産の特例
（被災家屋の代替家屋
　の特例）</t>
    <rPh sb="0" eb="2">
      <t>ヒサイ</t>
    </rPh>
    <rPh sb="2" eb="4">
      <t>カオク</t>
    </rPh>
    <rPh sb="5" eb="7">
      <t>ショウキャク</t>
    </rPh>
    <rPh sb="7" eb="9">
      <t>シサン</t>
    </rPh>
    <rPh sb="10" eb="12">
      <t>ダイタイ</t>
    </rPh>
    <rPh sb="12" eb="14">
      <t>シサン</t>
    </rPh>
    <rPh sb="15" eb="17">
      <t>トクレイ</t>
    </rPh>
    <rPh sb="20" eb="22">
      <t>ヒサイ</t>
    </rPh>
    <rPh sb="22" eb="24">
      <t>カオク</t>
    </rPh>
    <rPh sb="25" eb="27">
      <t>ダイタイ</t>
    </rPh>
    <rPh sb="27" eb="29">
      <t>カオク</t>
    </rPh>
    <rPh sb="32" eb="34">
      <t>トクレイ</t>
    </rPh>
    <phoneticPr fontId="21"/>
  </si>
  <si>
    <t>震災により滅失・損壊した家屋・償却資産の代替資産を取得した場合は，一定部分につき，3年間，1／2減額する。
震災後平12.3.31までに取得した代替家屋
              1～4年間　1／2
              5・6年間　1／3</t>
    <rPh sb="0" eb="2">
      <t>シンサイ</t>
    </rPh>
    <rPh sb="5" eb="7">
      <t>メッシツ</t>
    </rPh>
    <rPh sb="8" eb="10">
      <t>ソンカイ</t>
    </rPh>
    <rPh sb="12" eb="14">
      <t>カオク</t>
    </rPh>
    <rPh sb="15" eb="17">
      <t>ショウキャク</t>
    </rPh>
    <rPh sb="17" eb="19">
      <t>シサン</t>
    </rPh>
    <rPh sb="20" eb="22">
      <t>ダイタイ</t>
    </rPh>
    <rPh sb="22" eb="24">
      <t>シサン</t>
    </rPh>
    <rPh sb="25" eb="27">
      <t>シュトク</t>
    </rPh>
    <rPh sb="29" eb="31">
      <t>バアイ</t>
    </rPh>
    <rPh sb="33" eb="35">
      <t>イッテイ</t>
    </rPh>
    <rPh sb="35" eb="37">
      <t>ブブン</t>
    </rPh>
    <rPh sb="42" eb="44">
      <t>ネンカン</t>
    </rPh>
    <rPh sb="48" eb="49">
      <t>ゲン</t>
    </rPh>
    <rPh sb="49" eb="50">
      <t>ガク</t>
    </rPh>
    <rPh sb="55" eb="57">
      <t>シンサイ</t>
    </rPh>
    <rPh sb="57" eb="58">
      <t>ゴ</t>
    </rPh>
    <rPh sb="58" eb="59">
      <t>ヘイ</t>
    </rPh>
    <rPh sb="69" eb="71">
      <t>シュトク</t>
    </rPh>
    <rPh sb="73" eb="75">
      <t>ダイタイ</t>
    </rPh>
    <rPh sb="75" eb="77">
      <t>カオク</t>
    </rPh>
    <rPh sb="95" eb="97">
      <t>ネンカン</t>
    </rPh>
    <rPh sb="119" eb="121">
      <t>ネンカン</t>
    </rPh>
    <phoneticPr fontId="21"/>
  </si>
  <si>
    <t>7.1.17～12.
3.31の取得
7.1.17～12.
3.31の取得
⇒～17.3.31
⇒～19.3.31
（一部地域は～22.3.31）</t>
    <rPh sb="36" eb="38">
      <t>シュトク</t>
    </rPh>
    <rPh sb="60" eb="62">
      <t>イチブ</t>
    </rPh>
    <rPh sb="62" eb="64">
      <t>チイキ</t>
    </rPh>
    <phoneticPr fontId="21"/>
  </si>
  <si>
    <t>地法附16の2
地法附16の2
地法改附
　　(H17)12</t>
    <rPh sb="0" eb="1">
      <t>チ</t>
    </rPh>
    <rPh sb="1" eb="2">
      <t>ホウ</t>
    </rPh>
    <rPh sb="2" eb="3">
      <t>フ</t>
    </rPh>
    <rPh sb="10" eb="11">
      <t>チ</t>
    </rPh>
    <rPh sb="11" eb="12">
      <t>ホウ</t>
    </rPh>
    <rPh sb="12" eb="13">
      <t>フ</t>
    </rPh>
    <rPh sb="19" eb="20">
      <t>チ</t>
    </rPh>
    <rPh sb="20" eb="21">
      <t>ホウ</t>
    </rPh>
    <rPh sb="21" eb="22">
      <t>カイ</t>
    </rPh>
    <rPh sb="22" eb="23">
      <t>フ</t>
    </rPh>
    <phoneticPr fontId="21"/>
  </si>
  <si>
    <t>平9取得期限延長
平11減額期限延長
平12延長
平17延長</t>
    <rPh sb="0" eb="1">
      <t>ヘイ</t>
    </rPh>
    <rPh sb="2" eb="4">
      <t>シュトク</t>
    </rPh>
    <rPh sb="4" eb="6">
      <t>キゲン</t>
    </rPh>
    <rPh sb="6" eb="8">
      <t>エンチョウ</t>
    </rPh>
    <rPh sb="10" eb="11">
      <t>ヘイ</t>
    </rPh>
    <rPh sb="13" eb="14">
      <t>ゲン</t>
    </rPh>
    <rPh sb="14" eb="15">
      <t>ガク</t>
    </rPh>
    <rPh sb="15" eb="17">
      <t>キゲン</t>
    </rPh>
    <rPh sb="17" eb="19">
      <t>エンチョウ</t>
    </rPh>
    <rPh sb="20" eb="21">
      <t>ヘイ</t>
    </rPh>
    <rPh sb="23" eb="25">
      <t>エンチョウ</t>
    </rPh>
    <rPh sb="26" eb="27">
      <t>ヘイ</t>
    </rPh>
    <rPh sb="29" eb="31">
      <t>エンチョウ</t>
    </rPh>
    <phoneticPr fontId="21"/>
  </si>
  <si>
    <t>再建された小規模住宅の特例</t>
    <rPh sb="0" eb="2">
      <t>サイケン</t>
    </rPh>
    <rPh sb="5" eb="8">
      <t>ショウキボ</t>
    </rPh>
    <rPh sb="8" eb="10">
      <t>ジュウタク</t>
    </rPh>
    <rPh sb="11" eb="13">
      <t>トクレイ</t>
    </rPh>
    <phoneticPr fontId="21"/>
  </si>
  <si>
    <t>震災後平12.3.31までに新築された小規模（40㎡未満）の自己居住用家屋の税額を3年間，1／2減額</t>
    <rPh sb="0" eb="2">
      <t>シンサイ</t>
    </rPh>
    <rPh sb="2" eb="3">
      <t>ゴ</t>
    </rPh>
    <rPh sb="3" eb="4">
      <t>ヘイ</t>
    </rPh>
    <rPh sb="14" eb="16">
      <t>シンチク</t>
    </rPh>
    <rPh sb="19" eb="22">
      <t>ショウキボ</t>
    </rPh>
    <rPh sb="26" eb="28">
      <t>ミマン</t>
    </rPh>
    <rPh sb="30" eb="32">
      <t>ジコ</t>
    </rPh>
    <rPh sb="32" eb="35">
      <t>キョジュウヨウ</t>
    </rPh>
    <rPh sb="35" eb="37">
      <t>カオク</t>
    </rPh>
    <rPh sb="38" eb="40">
      <t>ゼイガク</t>
    </rPh>
    <rPh sb="42" eb="44">
      <t>ネンカン</t>
    </rPh>
    <rPh sb="48" eb="49">
      <t>ゲン</t>
    </rPh>
    <rPh sb="49" eb="50">
      <t>ガク</t>
    </rPh>
    <phoneticPr fontId="21"/>
  </si>
  <si>
    <t>7.1.17～12.
3.31の新築
⇒～17.3.31
⇒～19.3.31
（一部地域は～22.3.31）</t>
    <rPh sb="16" eb="18">
      <t>シンチク</t>
    </rPh>
    <phoneticPr fontId="21"/>
  </si>
  <si>
    <t xml:space="preserve">
平12延長
平17延長</t>
    <rPh sb="2" eb="3">
      <t>ヘイ</t>
    </rPh>
    <rPh sb="5" eb="7">
      <t>エンチョウ</t>
    </rPh>
    <rPh sb="8" eb="9">
      <t>ヘイ</t>
    </rPh>
    <rPh sb="11" eb="13">
      <t>エンチョウ</t>
    </rPh>
    <phoneticPr fontId="21"/>
  </si>
  <si>
    <t>鉄道事業者が取得する被災立体交差化施設の代替構築物の特例</t>
    <rPh sb="0" eb="2">
      <t>テツドウ</t>
    </rPh>
    <rPh sb="2" eb="4">
      <t>ジギョウ</t>
    </rPh>
    <rPh sb="4" eb="5">
      <t>シャ</t>
    </rPh>
    <rPh sb="6" eb="8">
      <t>シュトク</t>
    </rPh>
    <rPh sb="10" eb="12">
      <t>ヒサイ</t>
    </rPh>
    <rPh sb="12" eb="14">
      <t>リッタイ</t>
    </rPh>
    <rPh sb="14" eb="16">
      <t>コウサ</t>
    </rPh>
    <rPh sb="16" eb="17">
      <t>カ</t>
    </rPh>
    <rPh sb="17" eb="19">
      <t>シセツ</t>
    </rPh>
    <rPh sb="20" eb="22">
      <t>ダイタイ</t>
    </rPh>
    <rPh sb="22" eb="25">
      <t>コウチクブツ</t>
    </rPh>
    <rPh sb="26" eb="28">
      <t>トクレイ</t>
    </rPh>
    <phoneticPr fontId="21"/>
  </si>
  <si>
    <t>鉄道事業者が震災により滅失・損壊した立体交差化施設の復旧に伴い取得した構築物について，最初の5年間6分の1，その後は3分の1課税とする（代替特例と連乗）。</t>
    <rPh sb="0" eb="2">
      <t>テツドウ</t>
    </rPh>
    <rPh sb="2" eb="4">
      <t>ジギョウ</t>
    </rPh>
    <rPh sb="4" eb="5">
      <t>シャ</t>
    </rPh>
    <rPh sb="6" eb="8">
      <t>シンサイ</t>
    </rPh>
    <rPh sb="11" eb="13">
      <t>メッシツ</t>
    </rPh>
    <rPh sb="14" eb="16">
      <t>ソンカイ</t>
    </rPh>
    <rPh sb="18" eb="20">
      <t>リッタイ</t>
    </rPh>
    <rPh sb="20" eb="23">
      <t>コウサカ</t>
    </rPh>
    <rPh sb="23" eb="25">
      <t>シセツ</t>
    </rPh>
    <rPh sb="26" eb="28">
      <t>フッキュウ</t>
    </rPh>
    <rPh sb="29" eb="30">
      <t>トモナ</t>
    </rPh>
    <rPh sb="31" eb="33">
      <t>シュトク</t>
    </rPh>
    <rPh sb="35" eb="38">
      <t>コウチクブツ</t>
    </rPh>
    <rPh sb="43" eb="45">
      <t>サイショ</t>
    </rPh>
    <rPh sb="47" eb="49">
      <t>ネンカン</t>
    </rPh>
    <rPh sb="50" eb="51">
      <t>ブン</t>
    </rPh>
    <rPh sb="56" eb="57">
      <t>ゴ</t>
    </rPh>
    <rPh sb="59" eb="60">
      <t>ブン</t>
    </rPh>
    <rPh sb="62" eb="63">
      <t>カ</t>
    </rPh>
    <rPh sb="63" eb="64">
      <t>ゼイ</t>
    </rPh>
    <rPh sb="68" eb="70">
      <t>ダイタイ</t>
    </rPh>
    <rPh sb="70" eb="72">
      <t>トクレイ</t>
    </rPh>
    <rPh sb="73" eb="74">
      <t>レン</t>
    </rPh>
    <rPh sb="74" eb="75">
      <t>ジョウ</t>
    </rPh>
    <phoneticPr fontId="21"/>
  </si>
  <si>
    <t>7.1.17～12.
3.31の取得</t>
    <phoneticPr fontId="21"/>
  </si>
  <si>
    <t>地法附16の2</t>
    <rPh sb="0" eb="1">
      <t>チ</t>
    </rPh>
    <rPh sb="1" eb="2">
      <t>ホウ</t>
    </rPh>
    <rPh sb="2" eb="3">
      <t>フ</t>
    </rPh>
    <phoneticPr fontId="21"/>
  </si>
  <si>
    <t>旅客会社等の承継特例適用の特例</t>
    <rPh sb="0" eb="2">
      <t>リョカク</t>
    </rPh>
    <rPh sb="2" eb="4">
      <t>カイシャ</t>
    </rPh>
    <rPh sb="4" eb="5">
      <t>トウ</t>
    </rPh>
    <rPh sb="6" eb="8">
      <t>ショウケイ</t>
    </rPh>
    <rPh sb="8" eb="10">
      <t>トクレイ</t>
    </rPh>
    <rPh sb="10" eb="12">
      <t>テキヨウ</t>
    </rPh>
    <rPh sb="13" eb="15">
      <t>トクレイ</t>
    </rPh>
    <phoneticPr fontId="21"/>
  </si>
  <si>
    <t>旅客会社等が日本国有鉄道から承継した鉄道施設で滅失・損壊したものの復旧資産について，承継特例（価格の1／2）の対象とする（代替特例と連乗）。</t>
    <rPh sb="0" eb="2">
      <t>リョカク</t>
    </rPh>
    <rPh sb="2" eb="4">
      <t>ガイシャ</t>
    </rPh>
    <rPh sb="4" eb="5">
      <t>トウ</t>
    </rPh>
    <rPh sb="6" eb="8">
      <t>ニホン</t>
    </rPh>
    <rPh sb="8" eb="10">
      <t>コクユウ</t>
    </rPh>
    <rPh sb="10" eb="12">
      <t>テツドウ</t>
    </rPh>
    <rPh sb="14" eb="16">
      <t>ショウケイ</t>
    </rPh>
    <rPh sb="18" eb="20">
      <t>テツドウ</t>
    </rPh>
    <rPh sb="20" eb="22">
      <t>シセツ</t>
    </rPh>
    <rPh sb="23" eb="25">
      <t>メッシツ</t>
    </rPh>
    <rPh sb="26" eb="28">
      <t>ソンカイ</t>
    </rPh>
    <rPh sb="33" eb="35">
      <t>フッキュウ</t>
    </rPh>
    <rPh sb="35" eb="37">
      <t>シサン</t>
    </rPh>
    <rPh sb="42" eb="44">
      <t>ショウケイ</t>
    </rPh>
    <rPh sb="44" eb="46">
      <t>トクレイ</t>
    </rPh>
    <rPh sb="47" eb="49">
      <t>カカク</t>
    </rPh>
    <rPh sb="55" eb="57">
      <t>タイショウ</t>
    </rPh>
    <rPh sb="61" eb="63">
      <t>ダイタイ</t>
    </rPh>
    <rPh sb="63" eb="65">
      <t>トクレイ</t>
    </rPh>
    <rPh sb="66" eb="67">
      <t>レン</t>
    </rPh>
    <rPh sb="67" eb="68">
      <t>ジョウ</t>
    </rPh>
    <phoneticPr fontId="21"/>
  </si>
  <si>
    <t>地法附15の3(1)</t>
    <rPh sb="0" eb="1">
      <t>チ</t>
    </rPh>
    <rPh sb="1" eb="2">
      <t>ホウ</t>
    </rPh>
    <rPh sb="2" eb="3">
      <t>フ</t>
    </rPh>
    <phoneticPr fontId="21"/>
  </si>
  <si>
    <t>平9本体の承継特例一部廃止</t>
    <rPh sb="0" eb="1">
      <t>ヘイ</t>
    </rPh>
    <rPh sb="2" eb="4">
      <t>ホンタイ</t>
    </rPh>
    <rPh sb="5" eb="7">
      <t>ショウケイ</t>
    </rPh>
    <rPh sb="7" eb="9">
      <t>トクレイ</t>
    </rPh>
    <rPh sb="9" eb="11">
      <t>イチブ</t>
    </rPh>
    <rPh sb="11" eb="13">
      <t>ハイシ</t>
    </rPh>
    <phoneticPr fontId="21"/>
  </si>
  <si>
    <t>外貿埠頭公社の承継特例適用の特例</t>
    <rPh sb="0" eb="1">
      <t>ガイ</t>
    </rPh>
    <rPh sb="1" eb="2">
      <t>ボウ</t>
    </rPh>
    <rPh sb="2" eb="4">
      <t>フトウ</t>
    </rPh>
    <rPh sb="4" eb="6">
      <t>コウシャ</t>
    </rPh>
    <rPh sb="7" eb="9">
      <t>ショウケイ</t>
    </rPh>
    <rPh sb="9" eb="11">
      <t>トクレイ</t>
    </rPh>
    <rPh sb="11" eb="13">
      <t>テキヨウ</t>
    </rPh>
    <rPh sb="14" eb="16">
      <t>トクレイ</t>
    </rPh>
    <phoneticPr fontId="21"/>
  </si>
  <si>
    <t>外貿埠頭公社が外貿埠頭公社から承継した固定資産で滅失・損壊したものの復旧資産について，承継特例（価格の1／2）の対象とする（代替特例と連乗）。</t>
    <rPh sb="0" eb="1">
      <t>ガイ</t>
    </rPh>
    <rPh sb="1" eb="2">
      <t>ボウ</t>
    </rPh>
    <rPh sb="2" eb="4">
      <t>フトウ</t>
    </rPh>
    <rPh sb="4" eb="6">
      <t>コウシャ</t>
    </rPh>
    <rPh sb="7" eb="8">
      <t>ガイ</t>
    </rPh>
    <rPh sb="8" eb="9">
      <t>ボウ</t>
    </rPh>
    <rPh sb="9" eb="11">
      <t>フトウ</t>
    </rPh>
    <rPh sb="11" eb="13">
      <t>コウシャ</t>
    </rPh>
    <rPh sb="15" eb="17">
      <t>ショウケイ</t>
    </rPh>
    <rPh sb="19" eb="21">
      <t>コテイ</t>
    </rPh>
    <rPh sb="21" eb="23">
      <t>シサン</t>
    </rPh>
    <rPh sb="24" eb="26">
      <t>メッシツ</t>
    </rPh>
    <rPh sb="27" eb="29">
      <t>ソンカイ</t>
    </rPh>
    <rPh sb="34" eb="36">
      <t>フッキュウ</t>
    </rPh>
    <rPh sb="36" eb="38">
      <t>シサン</t>
    </rPh>
    <rPh sb="43" eb="45">
      <t>ショウケイ</t>
    </rPh>
    <rPh sb="45" eb="47">
      <t>トクレイ</t>
    </rPh>
    <rPh sb="48" eb="50">
      <t>カカク</t>
    </rPh>
    <rPh sb="56" eb="58">
      <t>タイショウ</t>
    </rPh>
    <rPh sb="62" eb="64">
      <t>ダイタイ</t>
    </rPh>
    <rPh sb="64" eb="66">
      <t>トクレイ</t>
    </rPh>
    <rPh sb="67" eb="68">
      <t>レン</t>
    </rPh>
    <rPh sb="68" eb="69">
      <t>ジョウ</t>
    </rPh>
    <phoneticPr fontId="21"/>
  </si>
  <si>
    <t>平成8～9年度分</t>
    <rPh sb="0" eb="2">
      <t>ヘイセイ</t>
    </rPh>
    <rPh sb="5" eb="7">
      <t>ネンド</t>
    </rPh>
    <rPh sb="7" eb="8">
      <t>ブン</t>
    </rPh>
    <phoneticPr fontId="21"/>
  </si>
  <si>
    <t>地法附15(16)</t>
    <rPh sb="0" eb="1">
      <t>チ</t>
    </rPh>
    <rPh sb="1" eb="2">
      <t>ホウ</t>
    </rPh>
    <rPh sb="2" eb="3">
      <t>フ</t>
    </rPh>
    <phoneticPr fontId="21"/>
  </si>
  <si>
    <t>平10本体の承継特例廃止</t>
    <rPh sb="0" eb="1">
      <t>ヘイ</t>
    </rPh>
    <rPh sb="3" eb="5">
      <t>ホンタイ</t>
    </rPh>
    <rPh sb="6" eb="8">
      <t>ショウケイ</t>
    </rPh>
    <rPh sb="8" eb="10">
      <t>トクレイ</t>
    </rPh>
    <rPh sb="10" eb="12">
      <t>ハイシ</t>
    </rPh>
    <phoneticPr fontId="21"/>
  </si>
  <si>
    <t>被災住宅用地の特例</t>
    <rPh sb="0" eb="2">
      <t>ヒサイ</t>
    </rPh>
    <rPh sb="2" eb="4">
      <t>ジュウタク</t>
    </rPh>
    <rPh sb="4" eb="6">
      <t>ヨウチ</t>
    </rPh>
    <rPh sb="7" eb="9">
      <t>トクレイ</t>
    </rPh>
    <phoneticPr fontId="21"/>
  </si>
  <si>
    <t>震災により住宅が滅失等した場合にも，その住宅の敷地について，引き続き住宅用地の特例を適用する。</t>
    <rPh sb="0" eb="2">
      <t>シンサイ</t>
    </rPh>
    <rPh sb="5" eb="7">
      <t>ジュウタク</t>
    </rPh>
    <rPh sb="8" eb="10">
      <t>メッシツ</t>
    </rPh>
    <rPh sb="10" eb="11">
      <t>トウ</t>
    </rPh>
    <rPh sb="13" eb="15">
      <t>バアイ</t>
    </rPh>
    <rPh sb="20" eb="22">
      <t>ジュウタク</t>
    </rPh>
    <rPh sb="23" eb="25">
      <t>シキチ</t>
    </rPh>
    <rPh sb="30" eb="31">
      <t>ヒ</t>
    </rPh>
    <rPh sb="32" eb="33">
      <t>ツヅ</t>
    </rPh>
    <rPh sb="34" eb="36">
      <t>ジュウタク</t>
    </rPh>
    <rPh sb="36" eb="38">
      <t>ヨウチ</t>
    </rPh>
    <rPh sb="39" eb="41">
      <t>トクレイ</t>
    </rPh>
    <rPh sb="42" eb="44">
      <t>テキヨウ</t>
    </rPh>
    <phoneticPr fontId="21"/>
  </si>
  <si>
    <t>平成8～12年度分
⇒～17年度分
⇒～19年度分
（一部地域は～22年度）</t>
    <rPh sb="0" eb="2">
      <t>ヘイセイ</t>
    </rPh>
    <rPh sb="6" eb="7">
      <t>ネン</t>
    </rPh>
    <rPh sb="7" eb="8">
      <t>ド</t>
    </rPh>
    <rPh sb="8" eb="9">
      <t>ブン</t>
    </rPh>
    <rPh sb="14" eb="16">
      <t>ネンド</t>
    </rPh>
    <rPh sb="16" eb="17">
      <t>ブン</t>
    </rPh>
    <rPh sb="22" eb="25">
      <t>ネンドブン</t>
    </rPh>
    <rPh sb="35" eb="37">
      <t>ネンド</t>
    </rPh>
    <phoneticPr fontId="21"/>
  </si>
  <si>
    <t>地法附16の2
地法改附
　　(H17)12</t>
    <rPh sb="0" eb="1">
      <t>チ</t>
    </rPh>
    <rPh sb="1" eb="2">
      <t>ホウ</t>
    </rPh>
    <rPh sb="2" eb="3">
      <t>フ</t>
    </rPh>
    <rPh sb="9" eb="10">
      <t>チ</t>
    </rPh>
    <rPh sb="10" eb="11">
      <t>ホウ</t>
    </rPh>
    <rPh sb="11" eb="12">
      <t>カイ</t>
    </rPh>
    <rPh sb="12" eb="13">
      <t>フ</t>
    </rPh>
    <phoneticPr fontId="21"/>
  </si>
  <si>
    <t>平9適用期間延長
平12延長
平17延長
平22適用打ち切り</t>
    <rPh sb="0" eb="1">
      <t>ヘイ</t>
    </rPh>
    <rPh sb="2" eb="4">
      <t>テキヨウ</t>
    </rPh>
    <rPh sb="4" eb="6">
      <t>キカン</t>
    </rPh>
    <rPh sb="6" eb="8">
      <t>エンチョウ</t>
    </rPh>
    <rPh sb="9" eb="10">
      <t>ヒラ</t>
    </rPh>
    <rPh sb="12" eb="14">
      <t>エンチョウ</t>
    </rPh>
    <rPh sb="15" eb="16">
      <t>ヒラ</t>
    </rPh>
    <rPh sb="18" eb="20">
      <t>エンチョウ</t>
    </rPh>
    <rPh sb="21" eb="22">
      <t>ヘイ</t>
    </rPh>
    <rPh sb="24" eb="26">
      <t>テキヨウ</t>
    </rPh>
    <rPh sb="26" eb="27">
      <t>ウ</t>
    </rPh>
    <rPh sb="28" eb="29">
      <t>キ</t>
    </rPh>
    <phoneticPr fontId="21"/>
  </si>
  <si>
    <t>平成22年度</t>
    <rPh sb="0" eb="2">
      <t>ヘイセイ</t>
    </rPh>
    <rPh sb="4" eb="6">
      <t>ネンド</t>
    </rPh>
    <phoneticPr fontId="21"/>
  </si>
  <si>
    <t>全部譲渡方式によりマンション等が再建された場合の特例</t>
    <rPh sb="0" eb="2">
      <t>ゼンブ</t>
    </rPh>
    <rPh sb="2" eb="4">
      <t>ジョウト</t>
    </rPh>
    <rPh sb="4" eb="6">
      <t>ホウシキ</t>
    </rPh>
    <rPh sb="14" eb="15">
      <t>トウ</t>
    </rPh>
    <rPh sb="16" eb="18">
      <t>サイケン</t>
    </rPh>
    <rPh sb="21" eb="23">
      <t>バアイ</t>
    </rPh>
    <rPh sb="24" eb="26">
      <t>トクレイ</t>
    </rPh>
    <phoneticPr fontId="21"/>
  </si>
  <si>
    <t>全部譲渡方式によりマンション・市場等を再建する場合，その敷地についてディベロッパー所有期間中も住宅用地並の税負担とする。</t>
    <rPh sb="0" eb="2">
      <t>ゼンブ</t>
    </rPh>
    <rPh sb="2" eb="4">
      <t>ジョウト</t>
    </rPh>
    <rPh sb="4" eb="6">
      <t>ホウシキ</t>
    </rPh>
    <rPh sb="15" eb="17">
      <t>シジョウ</t>
    </rPh>
    <rPh sb="17" eb="18">
      <t>トウ</t>
    </rPh>
    <rPh sb="19" eb="21">
      <t>サイケン</t>
    </rPh>
    <rPh sb="23" eb="25">
      <t>バアイ</t>
    </rPh>
    <rPh sb="28" eb="30">
      <t>シキチ</t>
    </rPh>
    <rPh sb="41" eb="43">
      <t>ショユウ</t>
    </rPh>
    <rPh sb="43" eb="46">
      <t>キカンチュウ</t>
    </rPh>
    <rPh sb="47" eb="49">
      <t>ジュウタク</t>
    </rPh>
    <rPh sb="49" eb="51">
      <t>ヨウチ</t>
    </rPh>
    <rPh sb="51" eb="52">
      <t>ナミ</t>
    </rPh>
    <rPh sb="53" eb="54">
      <t>ゼイ</t>
    </rPh>
    <rPh sb="54" eb="56">
      <t>フタン</t>
    </rPh>
    <phoneticPr fontId="21"/>
  </si>
  <si>
    <t>平成9～12年度分
⇒～17年度分</t>
    <rPh sb="0" eb="2">
      <t>ヘイセイ</t>
    </rPh>
    <rPh sb="6" eb="9">
      <t>ネンドブン</t>
    </rPh>
    <rPh sb="14" eb="17">
      <t>ネンドブン</t>
    </rPh>
    <phoneticPr fontId="21"/>
  </si>
  <si>
    <t>小規模な店舗，事業所等の敷地に対する特例</t>
    <rPh sb="0" eb="3">
      <t>ショウキボ</t>
    </rPh>
    <rPh sb="4" eb="6">
      <t>テンポ</t>
    </rPh>
    <rPh sb="7" eb="9">
      <t>ジギョウ</t>
    </rPh>
    <rPh sb="9" eb="10">
      <t>ショ</t>
    </rPh>
    <rPh sb="10" eb="11">
      <t>トウ</t>
    </rPh>
    <rPh sb="12" eb="14">
      <t>シキチ</t>
    </rPh>
    <rPh sb="15" eb="16">
      <t>タイ</t>
    </rPh>
    <rPh sb="18" eb="20">
      <t>トクレイ</t>
    </rPh>
    <phoneticPr fontId="21"/>
  </si>
  <si>
    <t>被災6区の旧市街地において震災後新築された小規模（150㎡以下）の店舗・事業所等の敷地について，50㎡までの部分について1／3減額する。</t>
    <rPh sb="0" eb="2">
      <t>ヒサイ</t>
    </rPh>
    <rPh sb="3" eb="4">
      <t>ク</t>
    </rPh>
    <rPh sb="5" eb="6">
      <t>キュウ</t>
    </rPh>
    <rPh sb="6" eb="9">
      <t>シガイチ</t>
    </rPh>
    <rPh sb="13" eb="15">
      <t>シンサイ</t>
    </rPh>
    <rPh sb="15" eb="16">
      <t>ゴ</t>
    </rPh>
    <rPh sb="16" eb="18">
      <t>シンチク</t>
    </rPh>
    <rPh sb="21" eb="24">
      <t>ショウキボ</t>
    </rPh>
    <rPh sb="29" eb="31">
      <t>イカ</t>
    </rPh>
    <rPh sb="33" eb="35">
      <t>テンポ</t>
    </rPh>
    <rPh sb="36" eb="38">
      <t>ジギョウ</t>
    </rPh>
    <rPh sb="38" eb="39">
      <t>ショ</t>
    </rPh>
    <rPh sb="39" eb="40">
      <t>トウ</t>
    </rPh>
    <rPh sb="41" eb="43">
      <t>シキチ</t>
    </rPh>
    <rPh sb="54" eb="56">
      <t>ブブン</t>
    </rPh>
    <rPh sb="63" eb="64">
      <t>ゲン</t>
    </rPh>
    <rPh sb="64" eb="65">
      <t>ガク</t>
    </rPh>
    <phoneticPr fontId="21"/>
  </si>
  <si>
    <t>平成10～12年度分
⇒～17年度分
⇒～19年度分
（一部地域は～22年度）</t>
    <rPh sb="0" eb="2">
      <t>ヘイセイ</t>
    </rPh>
    <rPh sb="7" eb="10">
      <t>ネンドブン</t>
    </rPh>
    <rPh sb="15" eb="18">
      <t>ネンドブン</t>
    </rPh>
    <rPh sb="23" eb="26">
      <t>ネンドブン</t>
    </rPh>
    <rPh sb="36" eb="38">
      <t>ネンド</t>
    </rPh>
    <phoneticPr fontId="21"/>
  </si>
  <si>
    <t>④地方税（道府県税）関係措置【兵庫県税に関するもの】</t>
    <rPh sb="1" eb="4">
      <t>チホウゼイ</t>
    </rPh>
    <rPh sb="5" eb="8">
      <t>ドウフケン</t>
    </rPh>
    <rPh sb="8" eb="9">
      <t>ゼイ</t>
    </rPh>
    <rPh sb="10" eb="12">
      <t>カンケイ</t>
    </rPh>
    <rPh sb="12" eb="14">
      <t>ソチ</t>
    </rPh>
    <rPh sb="15" eb="18">
      <t>ヒョウゴケン</t>
    </rPh>
    <rPh sb="18" eb="19">
      <t>ゼイ</t>
    </rPh>
    <rPh sb="20" eb="21">
      <t>カン</t>
    </rPh>
    <phoneticPr fontId="1"/>
  </si>
  <si>
    <t>特　別
土　地
保有税</t>
    <rPh sb="0" eb="1">
      <t>トク</t>
    </rPh>
    <rPh sb="2" eb="3">
      <t>ベツ</t>
    </rPh>
    <rPh sb="4" eb="5">
      <t>ツチ</t>
    </rPh>
    <rPh sb="6" eb="7">
      <t>チ</t>
    </rPh>
    <rPh sb="8" eb="11">
      <t>ホユウゼイ</t>
    </rPh>
    <phoneticPr fontId="21"/>
  </si>
  <si>
    <t>被災市街地復興推進地域内で行われる土地区画整理事業に係る特例</t>
    <rPh sb="0" eb="2">
      <t>ヒサイ</t>
    </rPh>
    <rPh sb="2" eb="5">
      <t>シガイチ</t>
    </rPh>
    <rPh sb="5" eb="7">
      <t>フッコウ</t>
    </rPh>
    <rPh sb="7" eb="9">
      <t>スイシン</t>
    </rPh>
    <rPh sb="9" eb="11">
      <t>チイキ</t>
    </rPh>
    <rPh sb="11" eb="12">
      <t>ナイ</t>
    </rPh>
    <rPh sb="13" eb="14">
      <t>オコナ</t>
    </rPh>
    <rPh sb="17" eb="19">
      <t>トチ</t>
    </rPh>
    <rPh sb="19" eb="21">
      <t>クカク</t>
    </rPh>
    <rPh sb="21" eb="23">
      <t>セイリ</t>
    </rPh>
    <rPh sb="23" eb="25">
      <t>ジギョウ</t>
    </rPh>
    <rPh sb="26" eb="27">
      <t>カカ</t>
    </rPh>
    <rPh sb="28" eb="30">
      <t>トクレイ</t>
    </rPh>
    <phoneticPr fontId="21"/>
  </si>
  <si>
    <t>被災市街地復興推進地域内において行われる土地区画整理事業に伴う一定の土地の取得について，特別土地保有税を非課税とする。</t>
    <rPh sb="0" eb="2">
      <t>ヒサイ</t>
    </rPh>
    <rPh sb="2" eb="5">
      <t>シガイチ</t>
    </rPh>
    <rPh sb="5" eb="7">
      <t>フッコウ</t>
    </rPh>
    <rPh sb="7" eb="9">
      <t>スイシン</t>
    </rPh>
    <rPh sb="9" eb="11">
      <t>チイキ</t>
    </rPh>
    <rPh sb="11" eb="12">
      <t>ナイ</t>
    </rPh>
    <rPh sb="16" eb="17">
      <t>オコナ</t>
    </rPh>
    <rPh sb="20" eb="22">
      <t>トチ</t>
    </rPh>
    <rPh sb="22" eb="24">
      <t>クカク</t>
    </rPh>
    <rPh sb="24" eb="26">
      <t>セイリ</t>
    </rPh>
    <rPh sb="26" eb="28">
      <t>ジギョウ</t>
    </rPh>
    <rPh sb="29" eb="30">
      <t>トモナ</t>
    </rPh>
    <rPh sb="31" eb="33">
      <t>イッテイ</t>
    </rPh>
    <rPh sb="34" eb="36">
      <t>トチ</t>
    </rPh>
    <rPh sb="37" eb="39">
      <t>シュトク</t>
    </rPh>
    <rPh sb="44" eb="46">
      <t>トクベツ</t>
    </rPh>
    <rPh sb="46" eb="48">
      <t>トチ</t>
    </rPh>
    <rPh sb="48" eb="51">
      <t>ホユウゼイ</t>
    </rPh>
    <rPh sb="52" eb="55">
      <t>ヒカゼイ</t>
    </rPh>
    <phoneticPr fontId="21"/>
  </si>
  <si>
    <t>地法587
地法73の6(3)(4)</t>
    <rPh sb="0" eb="1">
      <t>チ</t>
    </rPh>
    <rPh sb="1" eb="2">
      <t>ホウ</t>
    </rPh>
    <rPh sb="6" eb="7">
      <t>チ</t>
    </rPh>
    <rPh sb="7" eb="8">
      <t>ホウ</t>
    </rPh>
    <phoneticPr fontId="21"/>
  </si>
  <si>
    <t>災害減免〈一般制度〉
（震災に伴い新設）</t>
    <rPh sb="0" eb="2">
      <t>サイガイ</t>
    </rPh>
    <rPh sb="2" eb="4">
      <t>ゲンメン</t>
    </rPh>
    <rPh sb="5" eb="7">
      <t>イッパン</t>
    </rPh>
    <rPh sb="7" eb="9">
      <t>セイド</t>
    </rPh>
    <rPh sb="12" eb="14">
      <t>シンサイ</t>
    </rPh>
    <rPh sb="15" eb="16">
      <t>トモナ</t>
    </rPh>
    <rPh sb="17" eb="19">
      <t>シンセツ</t>
    </rPh>
    <phoneticPr fontId="21"/>
  </si>
  <si>
    <t>埋没，流失等の被害を受けた土地･･･損害の程度に応じて1／5減額から免除</t>
    <rPh sb="0" eb="2">
      <t>マイボツ</t>
    </rPh>
    <rPh sb="3" eb="6">
      <t>リュウシツナド</t>
    </rPh>
    <rPh sb="7" eb="9">
      <t>ヒガイ</t>
    </rPh>
    <rPh sb="10" eb="11">
      <t>ウ</t>
    </rPh>
    <rPh sb="13" eb="15">
      <t>トチ</t>
    </rPh>
    <rPh sb="18" eb="20">
      <t>ソンガイ</t>
    </rPh>
    <rPh sb="21" eb="23">
      <t>テイド</t>
    </rPh>
    <rPh sb="24" eb="25">
      <t>オウ</t>
    </rPh>
    <rPh sb="30" eb="31">
      <t>ゲン</t>
    </rPh>
    <rPh sb="31" eb="32">
      <t>ガク</t>
    </rPh>
    <rPh sb="34" eb="36">
      <t>メンジョ</t>
    </rPh>
    <phoneticPr fontId="21"/>
  </si>
  <si>
    <t>最初の納期到来分</t>
    <rPh sb="0" eb="2">
      <t>サイショ</t>
    </rPh>
    <rPh sb="3" eb="5">
      <t>ノウキ</t>
    </rPh>
    <rPh sb="5" eb="7">
      <t>トウライ</t>
    </rPh>
    <rPh sb="7" eb="8">
      <t>ブン</t>
    </rPh>
    <phoneticPr fontId="21"/>
  </si>
  <si>
    <t>事業所税</t>
    <rPh sb="0" eb="3">
      <t>ジギョウショ</t>
    </rPh>
    <rPh sb="3" eb="4">
      <t>ゼイ</t>
    </rPh>
    <phoneticPr fontId="21"/>
  </si>
  <si>
    <t>建替減免（新増設分）</t>
    <rPh sb="0" eb="1">
      <t>ダテ</t>
    </rPh>
    <rPh sb="1" eb="2">
      <t>テイ</t>
    </rPh>
    <rPh sb="2" eb="4">
      <t>ゲンメン</t>
    </rPh>
    <rPh sb="5" eb="8">
      <t>シンゾウセツ</t>
    </rPh>
    <rPh sb="8" eb="9">
      <t>ブン</t>
    </rPh>
    <phoneticPr fontId="21"/>
  </si>
  <si>
    <t>震災により滅失・損壊した事業所用家屋の代替事業所用家屋を，同一所有者等が新増築した場合は，被災床面積相当分について着工日及び完成日に応じて4／10減額から免除</t>
    <rPh sb="0" eb="2">
      <t>シンサイ</t>
    </rPh>
    <rPh sb="5" eb="7">
      <t>メッシツ</t>
    </rPh>
    <rPh sb="8" eb="10">
      <t>ソンカイ</t>
    </rPh>
    <rPh sb="12" eb="14">
      <t>ジギョウ</t>
    </rPh>
    <rPh sb="14" eb="16">
      <t>ショヨウ</t>
    </rPh>
    <rPh sb="16" eb="18">
      <t>カオク</t>
    </rPh>
    <rPh sb="19" eb="21">
      <t>ダイタイ</t>
    </rPh>
    <rPh sb="21" eb="23">
      <t>ジギョウ</t>
    </rPh>
    <rPh sb="23" eb="25">
      <t>ショヨウ</t>
    </rPh>
    <rPh sb="25" eb="27">
      <t>カオク</t>
    </rPh>
    <rPh sb="29" eb="31">
      <t>ドウイツ</t>
    </rPh>
    <rPh sb="31" eb="33">
      <t>ショユウ</t>
    </rPh>
    <rPh sb="33" eb="35">
      <t>シャナド</t>
    </rPh>
    <rPh sb="36" eb="39">
      <t>シンゾウチク</t>
    </rPh>
    <rPh sb="41" eb="43">
      <t>バアイ</t>
    </rPh>
    <rPh sb="45" eb="47">
      <t>ヒサイ</t>
    </rPh>
    <rPh sb="47" eb="50">
      <t>ユカメンセキ</t>
    </rPh>
    <rPh sb="50" eb="53">
      <t>ソウトウブン</t>
    </rPh>
    <rPh sb="57" eb="60">
      <t>チャッコウビ</t>
    </rPh>
    <rPh sb="60" eb="61">
      <t>オヨ</t>
    </rPh>
    <rPh sb="62" eb="64">
      <t>カンセイ</t>
    </rPh>
    <rPh sb="64" eb="65">
      <t>ビ</t>
    </rPh>
    <rPh sb="66" eb="67">
      <t>オウ</t>
    </rPh>
    <rPh sb="73" eb="74">
      <t>ゲン</t>
    </rPh>
    <rPh sb="74" eb="75">
      <t>ガク</t>
    </rPh>
    <rPh sb="77" eb="79">
      <t>メンジョ</t>
    </rPh>
    <phoneticPr fontId="21"/>
  </si>
  <si>
    <t>平9期限延長
平12延長</t>
    <rPh sb="0" eb="1">
      <t>ヘイ</t>
    </rPh>
    <rPh sb="2" eb="4">
      <t>キゲン</t>
    </rPh>
    <rPh sb="4" eb="6">
      <t>エンチョウ</t>
    </rPh>
    <rPh sb="10" eb="11">
      <t>ヘイ</t>
    </rPh>
    <rPh sb="13" eb="15">
      <t>エンチョウ</t>
    </rPh>
    <phoneticPr fontId="21"/>
  </si>
  <si>
    <t>休業減免（事業分・資産割）</t>
    <rPh sb="0" eb="2">
      <t>キュウギョウ</t>
    </rPh>
    <rPh sb="2" eb="4">
      <t>ゲンメン</t>
    </rPh>
    <rPh sb="5" eb="7">
      <t>ジギョウ</t>
    </rPh>
    <rPh sb="7" eb="8">
      <t>ブン</t>
    </rPh>
    <rPh sb="9" eb="11">
      <t>シサン</t>
    </rPh>
    <rPh sb="11" eb="12">
      <t>ワリ</t>
    </rPh>
    <phoneticPr fontId="21"/>
  </si>
  <si>
    <t>震災により事業所が損壊したことに伴い事業を休止した場合は，休止した事業所用床面積について，休止期間相当分を減免（8年1月までの休業期間分について適用）。</t>
    <rPh sb="0" eb="2">
      <t>シンサイ</t>
    </rPh>
    <rPh sb="5" eb="8">
      <t>ジギョウショ</t>
    </rPh>
    <rPh sb="9" eb="11">
      <t>ソンカイ</t>
    </rPh>
    <rPh sb="16" eb="17">
      <t>トモナ</t>
    </rPh>
    <rPh sb="18" eb="20">
      <t>ジギョウ</t>
    </rPh>
    <rPh sb="21" eb="23">
      <t>キュウシ</t>
    </rPh>
    <rPh sb="25" eb="27">
      <t>バアイ</t>
    </rPh>
    <rPh sb="29" eb="31">
      <t>キュウシ</t>
    </rPh>
    <rPh sb="33" eb="35">
      <t>ジギョウ</t>
    </rPh>
    <rPh sb="35" eb="37">
      <t>ショヨウ</t>
    </rPh>
    <rPh sb="37" eb="40">
      <t>ユカメンセキ</t>
    </rPh>
    <rPh sb="45" eb="47">
      <t>キュウシ</t>
    </rPh>
    <rPh sb="47" eb="49">
      <t>キカン</t>
    </rPh>
    <rPh sb="49" eb="52">
      <t>ソウトウブン</t>
    </rPh>
    <rPh sb="53" eb="55">
      <t>ゲンメン</t>
    </rPh>
    <rPh sb="57" eb="58">
      <t>ネン</t>
    </rPh>
    <rPh sb="59" eb="60">
      <t>ガツ</t>
    </rPh>
    <rPh sb="63" eb="65">
      <t>キュウギョウ</t>
    </rPh>
    <rPh sb="65" eb="67">
      <t>キカン</t>
    </rPh>
    <rPh sb="67" eb="68">
      <t>ブン</t>
    </rPh>
    <rPh sb="72" eb="74">
      <t>テキヨウ</t>
    </rPh>
    <phoneticPr fontId="21"/>
  </si>
  <si>
    <t>～9.3.31までに終了する事業年度分</t>
    <rPh sb="10" eb="12">
      <t>シュウリョウ</t>
    </rPh>
    <rPh sb="14" eb="16">
      <t>ジギョウ</t>
    </rPh>
    <rPh sb="16" eb="18">
      <t>ネンド</t>
    </rPh>
    <rPh sb="18" eb="19">
      <t>ブン</t>
    </rPh>
    <phoneticPr fontId="21"/>
  </si>
  <si>
    <t>～12.3.31の新築（工期2年以上のものは9.1.17着工分）
⇒17.3.31
⇒事業所税（新増設分）廃止に伴い廃止15.3.31</t>
    <rPh sb="9" eb="11">
      <t>シンチク</t>
    </rPh>
    <rPh sb="12" eb="14">
      <t>コウキ</t>
    </rPh>
    <rPh sb="14" eb="18">
      <t>ニネンイジョウ</t>
    </rPh>
    <rPh sb="28" eb="30">
      <t>チャッコウ</t>
    </rPh>
    <rPh sb="30" eb="31">
      <t>ブン</t>
    </rPh>
    <rPh sb="43" eb="46">
      <t>ジギョウショ</t>
    </rPh>
    <rPh sb="46" eb="47">
      <t>ゼイ</t>
    </rPh>
    <rPh sb="48" eb="51">
      <t>シンゾウセツ</t>
    </rPh>
    <rPh sb="51" eb="52">
      <t>ブン</t>
    </rPh>
    <rPh sb="53" eb="55">
      <t>ハイシ</t>
    </rPh>
    <rPh sb="56" eb="57">
      <t>トモナ</t>
    </rPh>
    <rPh sb="58" eb="60">
      <t>ハイシ</t>
    </rPh>
    <phoneticPr fontId="21"/>
  </si>
  <si>
    <t>県税の納期限の延長　　　　　　　　　　平成7年5月31日
個人事業税の申告　　　　　　申請により平成8年3月15日
法人県民税・事業税の申告　　申請により平成8年1月31日</t>
    <rPh sb="0" eb="2">
      <t>ケンゼイ</t>
    </rPh>
    <rPh sb="3" eb="6">
      <t>ノウキゲン</t>
    </rPh>
    <rPh sb="7" eb="9">
      <t>エンチョウ</t>
    </rPh>
    <rPh sb="19" eb="21">
      <t>ヘイセイ</t>
    </rPh>
    <rPh sb="22" eb="23">
      <t>ネン</t>
    </rPh>
    <rPh sb="24" eb="25">
      <t>ガツ</t>
    </rPh>
    <rPh sb="27" eb="28">
      <t>ニチ</t>
    </rPh>
    <rPh sb="29" eb="31">
      <t>コジン</t>
    </rPh>
    <rPh sb="31" eb="34">
      <t>ジギョウゼイ</t>
    </rPh>
    <rPh sb="35" eb="37">
      <t>シンコク</t>
    </rPh>
    <rPh sb="43" eb="45">
      <t>シンセイ</t>
    </rPh>
    <rPh sb="48" eb="50">
      <t>ヘイセイ</t>
    </rPh>
    <rPh sb="51" eb="52">
      <t>ネン</t>
    </rPh>
    <rPh sb="53" eb="54">
      <t>ガツ</t>
    </rPh>
    <rPh sb="56" eb="57">
      <t>ニチ</t>
    </rPh>
    <rPh sb="60" eb="61">
      <t>ケン</t>
    </rPh>
    <rPh sb="64" eb="67">
      <t>ジギョウゼイ</t>
    </rPh>
    <phoneticPr fontId="21"/>
  </si>
  <si>
    <t>住民税
利子割</t>
    <rPh sb="0" eb="3">
      <t>ジュウミンゼイ</t>
    </rPh>
    <rPh sb="4" eb="6">
      <t>リシ</t>
    </rPh>
    <rPh sb="6" eb="7">
      <t>ワリ</t>
    </rPh>
    <phoneticPr fontId="21"/>
  </si>
  <si>
    <t>財形住宅（年金）貯蓄の不適格払出の場合の利子割額の還付</t>
    <rPh sb="0" eb="2">
      <t>ザイケイ</t>
    </rPh>
    <rPh sb="2" eb="4">
      <t>ジュウタク</t>
    </rPh>
    <rPh sb="5" eb="7">
      <t>ネンキン</t>
    </rPh>
    <rPh sb="8" eb="10">
      <t>チョチク</t>
    </rPh>
    <rPh sb="11" eb="14">
      <t>フテキカク</t>
    </rPh>
    <rPh sb="14" eb="16">
      <t>ハライダシ</t>
    </rPh>
    <rPh sb="17" eb="19">
      <t>バアイ</t>
    </rPh>
    <rPh sb="20" eb="22">
      <t>リシ</t>
    </rPh>
    <rPh sb="22" eb="23">
      <t>ワリ</t>
    </rPh>
    <rPh sb="23" eb="24">
      <t>ガク</t>
    </rPh>
    <rPh sb="25" eb="27">
      <t>カンプ</t>
    </rPh>
    <phoneticPr fontId="21"/>
  </si>
  <si>
    <t>財形住宅（年金）貯蓄の不適格払出をし，当該不適格払出に係る利子割の額がある場合において，勤労者の還付を請求に基づき利子割額を還付する。</t>
    <rPh sb="0" eb="2">
      <t>ザイケイ</t>
    </rPh>
    <rPh sb="2" eb="4">
      <t>ジュウタク</t>
    </rPh>
    <rPh sb="5" eb="7">
      <t>ネンキン</t>
    </rPh>
    <rPh sb="8" eb="10">
      <t>チョチク</t>
    </rPh>
    <rPh sb="11" eb="14">
      <t>フテキカク</t>
    </rPh>
    <rPh sb="14" eb="16">
      <t>ハライダシ</t>
    </rPh>
    <rPh sb="19" eb="21">
      <t>トウガイ</t>
    </rPh>
    <rPh sb="21" eb="24">
      <t>フテキカク</t>
    </rPh>
    <rPh sb="24" eb="26">
      <t>ハライダシ</t>
    </rPh>
    <rPh sb="27" eb="28">
      <t>カカ</t>
    </rPh>
    <rPh sb="29" eb="31">
      <t>リシ</t>
    </rPh>
    <rPh sb="31" eb="32">
      <t>ワリ</t>
    </rPh>
    <rPh sb="33" eb="34">
      <t>ガク</t>
    </rPh>
    <rPh sb="37" eb="39">
      <t>バアイ</t>
    </rPh>
    <rPh sb="44" eb="47">
      <t>キンロウシャ</t>
    </rPh>
    <rPh sb="48" eb="50">
      <t>カンプ</t>
    </rPh>
    <rPh sb="51" eb="53">
      <t>セイキュウ</t>
    </rPh>
    <rPh sb="54" eb="55">
      <t>モト</t>
    </rPh>
    <rPh sb="57" eb="59">
      <t>リシ</t>
    </rPh>
    <rPh sb="59" eb="60">
      <t>ワリ</t>
    </rPh>
    <rPh sb="60" eb="61">
      <t>ガク</t>
    </rPh>
    <rPh sb="62" eb="64">
      <t>カンプ</t>
    </rPh>
    <phoneticPr fontId="21"/>
  </si>
  <si>
    <t>～7.9.30までの還付請求</t>
    <rPh sb="10" eb="12">
      <t>カンプ</t>
    </rPh>
    <rPh sb="12" eb="14">
      <t>セイキュウ</t>
    </rPh>
    <phoneticPr fontId="21"/>
  </si>
  <si>
    <t>地法附8の3</t>
    <rPh sb="0" eb="1">
      <t>チ</t>
    </rPh>
    <rPh sb="1" eb="2">
      <t>ホウ</t>
    </rPh>
    <rPh sb="2" eb="3">
      <t>フ</t>
    </rPh>
    <phoneticPr fontId="21"/>
  </si>
  <si>
    <t>個　人
事業税</t>
    <rPh sb="0" eb="1">
      <t>コ</t>
    </rPh>
    <rPh sb="2" eb="3">
      <t>ヒト</t>
    </rPh>
    <rPh sb="4" eb="7">
      <t>ジギョウゼイ</t>
    </rPh>
    <phoneticPr fontId="21"/>
  </si>
  <si>
    <t>災害減免〈一般制度〉
（自治省通達改正に
　伴い所得要件緩和〉</t>
    <rPh sb="0" eb="2">
      <t>サイガイ</t>
    </rPh>
    <rPh sb="2" eb="4">
      <t>ゲンメン</t>
    </rPh>
    <rPh sb="5" eb="7">
      <t>イッパン</t>
    </rPh>
    <rPh sb="7" eb="9">
      <t>セイド</t>
    </rPh>
    <rPh sb="12" eb="15">
      <t>ジチショウ</t>
    </rPh>
    <rPh sb="15" eb="17">
      <t>ツウタツ</t>
    </rPh>
    <rPh sb="17" eb="19">
      <t>カイセイ</t>
    </rPh>
    <rPh sb="22" eb="23">
      <t>トモナ</t>
    </rPh>
    <rPh sb="24" eb="26">
      <t>ショトク</t>
    </rPh>
    <rPh sb="26" eb="28">
      <t>ヨウケン</t>
    </rPh>
    <rPh sb="28" eb="30">
      <t>カンワ</t>
    </rPh>
    <phoneticPr fontId="21"/>
  </si>
  <si>
    <t>課税標準額（事業主控除後の所得金額）が1,000万円以下で事業用資産・住宅家財等に受けた損害が2分の1以上の場合に，損害の対象・課税標準額に応じて1／4減額から免除。</t>
    <rPh sb="0" eb="1">
      <t>カ</t>
    </rPh>
    <rPh sb="1" eb="2">
      <t>ゼイ</t>
    </rPh>
    <rPh sb="2" eb="4">
      <t>ヒョウジュン</t>
    </rPh>
    <rPh sb="4" eb="5">
      <t>ガク</t>
    </rPh>
    <rPh sb="6" eb="8">
      <t>ジギョウ</t>
    </rPh>
    <rPh sb="8" eb="9">
      <t>ヌシ</t>
    </rPh>
    <rPh sb="9" eb="11">
      <t>コウジョ</t>
    </rPh>
    <rPh sb="11" eb="12">
      <t>ゴ</t>
    </rPh>
    <rPh sb="13" eb="15">
      <t>ショトク</t>
    </rPh>
    <rPh sb="15" eb="16">
      <t>キン</t>
    </rPh>
    <rPh sb="16" eb="17">
      <t>ガク</t>
    </rPh>
    <rPh sb="24" eb="26">
      <t>マンエン</t>
    </rPh>
    <rPh sb="26" eb="28">
      <t>イカ</t>
    </rPh>
    <rPh sb="29" eb="32">
      <t>ジギョウヨウ</t>
    </rPh>
    <rPh sb="32" eb="34">
      <t>シサン</t>
    </rPh>
    <rPh sb="35" eb="37">
      <t>ジュウタク</t>
    </rPh>
    <rPh sb="37" eb="39">
      <t>カザイ</t>
    </rPh>
    <rPh sb="39" eb="40">
      <t>トウ</t>
    </rPh>
    <rPh sb="41" eb="42">
      <t>ウ</t>
    </rPh>
    <rPh sb="44" eb="46">
      <t>ソンガイ</t>
    </rPh>
    <rPh sb="48" eb="49">
      <t>ブン</t>
    </rPh>
    <rPh sb="51" eb="53">
      <t>イジョウ</t>
    </rPh>
    <rPh sb="54" eb="56">
      <t>バアイ</t>
    </rPh>
    <rPh sb="58" eb="60">
      <t>ソンガイ</t>
    </rPh>
    <rPh sb="61" eb="63">
      <t>タイショウ</t>
    </rPh>
    <rPh sb="64" eb="65">
      <t>カ</t>
    </rPh>
    <rPh sb="65" eb="66">
      <t>ゼイ</t>
    </rPh>
    <rPh sb="66" eb="68">
      <t>ヒョウジュン</t>
    </rPh>
    <rPh sb="68" eb="69">
      <t>ガク</t>
    </rPh>
    <rPh sb="70" eb="71">
      <t>オウ</t>
    </rPh>
    <rPh sb="76" eb="77">
      <t>ゲン</t>
    </rPh>
    <rPh sb="77" eb="78">
      <t>ガク</t>
    </rPh>
    <rPh sb="80" eb="82">
      <t>メンジョ</t>
    </rPh>
    <phoneticPr fontId="21"/>
  </si>
  <si>
    <t>法　人
事業税</t>
    <rPh sb="0" eb="1">
      <t>ホウ</t>
    </rPh>
    <rPh sb="2" eb="3">
      <t>ヒト</t>
    </rPh>
    <rPh sb="4" eb="7">
      <t>ジギョウゼイ</t>
    </rPh>
    <phoneticPr fontId="21"/>
  </si>
  <si>
    <t>申告期限の延長により中間申告書等の提出期限が確定申告書の提出期限と同一となる場合は，中間申告書の提出は不要。</t>
    <rPh sb="0" eb="2">
      <t>シンコク</t>
    </rPh>
    <rPh sb="2" eb="4">
      <t>キゲン</t>
    </rPh>
    <rPh sb="5" eb="7">
      <t>エンチョウ</t>
    </rPh>
    <rPh sb="10" eb="12">
      <t>チュウカン</t>
    </rPh>
    <rPh sb="12" eb="14">
      <t>シンコク</t>
    </rPh>
    <rPh sb="14" eb="15">
      <t>ショ</t>
    </rPh>
    <rPh sb="15" eb="16">
      <t>トウ</t>
    </rPh>
    <rPh sb="17" eb="19">
      <t>テイシュツ</t>
    </rPh>
    <rPh sb="19" eb="21">
      <t>キゲン</t>
    </rPh>
    <rPh sb="22" eb="24">
      <t>カクテイ</t>
    </rPh>
    <rPh sb="24" eb="26">
      <t>シンコク</t>
    </rPh>
    <rPh sb="26" eb="27">
      <t>ショ</t>
    </rPh>
    <rPh sb="28" eb="30">
      <t>テイシュツ</t>
    </rPh>
    <rPh sb="30" eb="32">
      <t>キゲン</t>
    </rPh>
    <rPh sb="33" eb="35">
      <t>ドウイツ</t>
    </rPh>
    <rPh sb="38" eb="40">
      <t>バアイ</t>
    </rPh>
    <rPh sb="42" eb="44">
      <t>チュウカン</t>
    </rPh>
    <rPh sb="44" eb="46">
      <t>シンコク</t>
    </rPh>
    <rPh sb="46" eb="47">
      <t>ショ</t>
    </rPh>
    <rPh sb="48" eb="50">
      <t>テイシュツ</t>
    </rPh>
    <rPh sb="51" eb="53">
      <t>フヨウ</t>
    </rPh>
    <phoneticPr fontId="21"/>
  </si>
  <si>
    <t>地法附9の2の2</t>
    <rPh sb="0" eb="1">
      <t>チ</t>
    </rPh>
    <rPh sb="1" eb="2">
      <t>ホウ</t>
    </rPh>
    <rPh sb="2" eb="3">
      <t>フ</t>
    </rPh>
    <phoneticPr fontId="21"/>
  </si>
  <si>
    <t>法人県民税・事業税</t>
    <rPh sb="0" eb="2">
      <t>ホウジン</t>
    </rPh>
    <rPh sb="2" eb="5">
      <t>ケンミンゼイ</t>
    </rPh>
    <rPh sb="6" eb="9">
      <t>ジギョウゼイ</t>
    </rPh>
    <phoneticPr fontId="21"/>
  </si>
  <si>
    <t>超過課税の対象外とする不均一課税</t>
    <rPh sb="0" eb="1">
      <t>チョウ</t>
    </rPh>
    <rPh sb="1" eb="2">
      <t>カ</t>
    </rPh>
    <rPh sb="2" eb="3">
      <t>カ</t>
    </rPh>
    <rPh sb="3" eb="4">
      <t>ゼイ</t>
    </rPh>
    <rPh sb="5" eb="7">
      <t>タイショウ</t>
    </rPh>
    <rPh sb="7" eb="8">
      <t>ガイ</t>
    </rPh>
    <rPh sb="11" eb="14">
      <t>フキンイツ</t>
    </rPh>
    <rPh sb="14" eb="15">
      <t>カ</t>
    </rPh>
    <rPh sb="15" eb="16">
      <t>ゼイ</t>
    </rPh>
    <phoneticPr fontId="21"/>
  </si>
  <si>
    <t>震災により資本金等の2分の1以上の額の損害を受けた法人について，超過課税の対象外とする。</t>
    <rPh sb="0" eb="2">
      <t>シンサイ</t>
    </rPh>
    <rPh sb="5" eb="8">
      <t>シホンキン</t>
    </rPh>
    <rPh sb="8" eb="9">
      <t>トウ</t>
    </rPh>
    <rPh sb="11" eb="12">
      <t>ブン</t>
    </rPh>
    <rPh sb="14" eb="16">
      <t>イジョウ</t>
    </rPh>
    <rPh sb="17" eb="18">
      <t>ガク</t>
    </rPh>
    <rPh sb="19" eb="21">
      <t>ソンガイ</t>
    </rPh>
    <rPh sb="22" eb="23">
      <t>ウ</t>
    </rPh>
    <rPh sb="25" eb="27">
      <t>ホウジン</t>
    </rPh>
    <rPh sb="32" eb="33">
      <t>チョウ</t>
    </rPh>
    <rPh sb="33" eb="34">
      <t>カ</t>
    </rPh>
    <rPh sb="34" eb="35">
      <t>カ</t>
    </rPh>
    <rPh sb="35" eb="36">
      <t>ゼイ</t>
    </rPh>
    <rPh sb="37" eb="39">
      <t>タイショウ</t>
    </rPh>
    <rPh sb="39" eb="40">
      <t>ガイ</t>
    </rPh>
    <phoneticPr fontId="21"/>
  </si>
  <si>
    <t>7.1.17～10.
1.16に終了する事業年度分</t>
    <rPh sb="16" eb="18">
      <t>シュウリョウ</t>
    </rPh>
    <rPh sb="20" eb="22">
      <t>ジギョウ</t>
    </rPh>
    <rPh sb="22" eb="24">
      <t>ネンド</t>
    </rPh>
    <rPh sb="24" eb="25">
      <t>ブン</t>
    </rPh>
    <phoneticPr fontId="21"/>
  </si>
  <si>
    <t>不動産取得税</t>
    <rPh sb="0" eb="3">
      <t>フドウサン</t>
    </rPh>
    <rPh sb="3" eb="5">
      <t>シュトク</t>
    </rPh>
    <rPh sb="5" eb="6">
      <t>ゼイ</t>
    </rPh>
    <phoneticPr fontId="21"/>
  </si>
  <si>
    <t>被災市街地復興推進地域内において行われる土地区画整理事業に伴う一定の土地の取得について不動産取得税を非課税とする。</t>
    <rPh sb="0" eb="2">
      <t>ヒサイ</t>
    </rPh>
    <rPh sb="2" eb="5">
      <t>シガイチ</t>
    </rPh>
    <rPh sb="5" eb="7">
      <t>フッコウ</t>
    </rPh>
    <rPh sb="7" eb="9">
      <t>スイシン</t>
    </rPh>
    <rPh sb="9" eb="11">
      <t>チイキ</t>
    </rPh>
    <rPh sb="11" eb="12">
      <t>ナイ</t>
    </rPh>
    <rPh sb="16" eb="17">
      <t>オコナ</t>
    </rPh>
    <rPh sb="20" eb="22">
      <t>トチ</t>
    </rPh>
    <rPh sb="22" eb="24">
      <t>クカク</t>
    </rPh>
    <rPh sb="24" eb="26">
      <t>セイリ</t>
    </rPh>
    <rPh sb="26" eb="28">
      <t>ジギョウ</t>
    </rPh>
    <rPh sb="29" eb="30">
      <t>トモナ</t>
    </rPh>
    <rPh sb="31" eb="33">
      <t>イッテイ</t>
    </rPh>
    <rPh sb="34" eb="36">
      <t>トチ</t>
    </rPh>
    <rPh sb="37" eb="39">
      <t>シュトク</t>
    </rPh>
    <rPh sb="43" eb="46">
      <t>フドウサン</t>
    </rPh>
    <rPh sb="46" eb="48">
      <t>シュトク</t>
    </rPh>
    <rPh sb="48" eb="49">
      <t>ゼイ</t>
    </rPh>
    <rPh sb="50" eb="53">
      <t>ヒカゼイ</t>
    </rPh>
    <phoneticPr fontId="21"/>
  </si>
  <si>
    <t>法73の6(3)(4)</t>
    <rPh sb="0" eb="1">
      <t>ホウ</t>
    </rPh>
    <phoneticPr fontId="21"/>
  </si>
  <si>
    <t>取得後納期限前に滅失等した不動産の減免</t>
    <rPh sb="0" eb="2">
      <t>シュトク</t>
    </rPh>
    <rPh sb="2" eb="3">
      <t>ゴ</t>
    </rPh>
    <rPh sb="3" eb="6">
      <t>ノウキゲン</t>
    </rPh>
    <rPh sb="6" eb="7">
      <t>マエ</t>
    </rPh>
    <rPh sb="8" eb="10">
      <t>メッシツ</t>
    </rPh>
    <rPh sb="10" eb="11">
      <t>トウ</t>
    </rPh>
    <rPh sb="13" eb="16">
      <t>フドウサン</t>
    </rPh>
    <rPh sb="17" eb="19">
      <t>ゲンメン</t>
    </rPh>
    <phoneticPr fontId="21"/>
  </si>
  <si>
    <t>納期限までに震災により滅失等した場合は，滅失等した不動産の価格に損害割合に応じた減免割合を乗じた額に税率を乗じた額を減免。</t>
    <rPh sb="0" eb="3">
      <t>ノウキゲン</t>
    </rPh>
    <rPh sb="6" eb="8">
      <t>シンサイ</t>
    </rPh>
    <rPh sb="11" eb="13">
      <t>メッシツ</t>
    </rPh>
    <rPh sb="13" eb="14">
      <t>トウ</t>
    </rPh>
    <rPh sb="16" eb="18">
      <t>バアイ</t>
    </rPh>
    <rPh sb="20" eb="22">
      <t>メッシツ</t>
    </rPh>
    <rPh sb="22" eb="23">
      <t>トウ</t>
    </rPh>
    <rPh sb="25" eb="28">
      <t>フドウサン</t>
    </rPh>
    <rPh sb="29" eb="31">
      <t>カカク</t>
    </rPh>
    <rPh sb="32" eb="34">
      <t>ソンガイ</t>
    </rPh>
    <rPh sb="34" eb="36">
      <t>ワリアイ</t>
    </rPh>
    <rPh sb="37" eb="38">
      <t>オウ</t>
    </rPh>
    <rPh sb="40" eb="42">
      <t>ゲンメン</t>
    </rPh>
    <rPh sb="42" eb="44">
      <t>ワリアイ</t>
    </rPh>
    <rPh sb="45" eb="46">
      <t>ジョウ</t>
    </rPh>
    <rPh sb="48" eb="49">
      <t>ガク</t>
    </rPh>
    <rPh sb="50" eb="52">
      <t>ゼイリツ</t>
    </rPh>
    <rPh sb="53" eb="54">
      <t>ジョウ</t>
    </rPh>
    <rPh sb="56" eb="57">
      <t>ガク</t>
    </rPh>
    <rPh sb="58" eb="60">
      <t>ゲンメン</t>
    </rPh>
    <phoneticPr fontId="21"/>
  </si>
  <si>
    <t>代替資産の取得の場合の特例</t>
    <rPh sb="0" eb="2">
      <t>ダイタイ</t>
    </rPh>
    <rPh sb="2" eb="4">
      <t>シサン</t>
    </rPh>
    <rPh sb="5" eb="7">
      <t>シュトク</t>
    </rPh>
    <rPh sb="8" eb="10">
      <t>バアイ</t>
    </rPh>
    <rPh sb="11" eb="13">
      <t>トクレイ</t>
    </rPh>
    <phoneticPr fontId="21"/>
  </si>
  <si>
    <t>震災により滅失等した不動産の代替資産を取得した場合は，滅失等した不動産の価格に損害割合に応じた減免割合を乗じた額を減免（一般制度。震災に伴い取得期間延長（2⇒3年），震災特例で取得期限＋2年）</t>
    <rPh sb="0" eb="2">
      <t>シンサイ</t>
    </rPh>
    <rPh sb="5" eb="7">
      <t>メッシツ</t>
    </rPh>
    <rPh sb="7" eb="8">
      <t>トウ</t>
    </rPh>
    <rPh sb="10" eb="13">
      <t>フドウサン</t>
    </rPh>
    <rPh sb="14" eb="16">
      <t>ダイタイ</t>
    </rPh>
    <rPh sb="16" eb="18">
      <t>シサン</t>
    </rPh>
    <rPh sb="19" eb="21">
      <t>シュトク</t>
    </rPh>
    <rPh sb="23" eb="25">
      <t>バアイ</t>
    </rPh>
    <rPh sb="27" eb="29">
      <t>メッシツ</t>
    </rPh>
    <rPh sb="29" eb="30">
      <t>トウ</t>
    </rPh>
    <rPh sb="32" eb="35">
      <t>フドウサン</t>
    </rPh>
    <rPh sb="36" eb="38">
      <t>カカク</t>
    </rPh>
    <rPh sb="39" eb="41">
      <t>ソンガイ</t>
    </rPh>
    <rPh sb="41" eb="43">
      <t>ワリアイ</t>
    </rPh>
    <rPh sb="44" eb="45">
      <t>オウ</t>
    </rPh>
    <rPh sb="47" eb="49">
      <t>ゲンメン</t>
    </rPh>
    <rPh sb="49" eb="51">
      <t>ワリアイ</t>
    </rPh>
    <rPh sb="52" eb="53">
      <t>ジョウ</t>
    </rPh>
    <rPh sb="55" eb="56">
      <t>ガク</t>
    </rPh>
    <rPh sb="57" eb="59">
      <t>ゲンメン</t>
    </rPh>
    <rPh sb="60" eb="62">
      <t>イッパン</t>
    </rPh>
    <rPh sb="62" eb="64">
      <t>セイド</t>
    </rPh>
    <rPh sb="65" eb="67">
      <t>シンサイ</t>
    </rPh>
    <rPh sb="68" eb="69">
      <t>トモナ</t>
    </rPh>
    <rPh sb="70" eb="72">
      <t>シュトク</t>
    </rPh>
    <rPh sb="72" eb="74">
      <t>キカン</t>
    </rPh>
    <rPh sb="74" eb="76">
      <t>エンチョウ</t>
    </rPh>
    <rPh sb="80" eb="81">
      <t>ネン</t>
    </rPh>
    <rPh sb="83" eb="85">
      <t>シンサイ</t>
    </rPh>
    <rPh sb="85" eb="87">
      <t>トクレイ</t>
    </rPh>
    <rPh sb="88" eb="90">
      <t>シュトク</t>
    </rPh>
    <rPh sb="90" eb="92">
      <t>キゲン</t>
    </rPh>
    <rPh sb="94" eb="95">
      <t>ネン</t>
    </rPh>
    <phoneticPr fontId="21"/>
  </si>
  <si>
    <t>～12.3.31の取得</t>
    <rPh sb="9" eb="11">
      <t>シュトク</t>
    </rPh>
    <phoneticPr fontId="21"/>
  </si>
  <si>
    <t>条例
自治省通達</t>
    <rPh sb="0" eb="2">
      <t>ジョウレイ</t>
    </rPh>
    <rPh sb="3" eb="6">
      <t>ジチショウ</t>
    </rPh>
    <rPh sb="6" eb="8">
      <t>ツウタツ</t>
    </rPh>
    <phoneticPr fontId="21"/>
  </si>
  <si>
    <t>平9中
期限延長</t>
    <rPh sb="0" eb="1">
      <t>ヘイ</t>
    </rPh>
    <rPh sb="2" eb="3">
      <t>チュウ</t>
    </rPh>
    <rPh sb="4" eb="6">
      <t>キゲン</t>
    </rPh>
    <rPh sb="6" eb="8">
      <t>エンチョウ</t>
    </rPh>
    <phoneticPr fontId="21"/>
  </si>
  <si>
    <t>8の2</t>
    <phoneticPr fontId="21"/>
  </si>
  <si>
    <t>代替家屋の取得の場合の特例</t>
    <rPh sb="0" eb="2">
      <t>ダイタイ</t>
    </rPh>
    <rPh sb="2" eb="4">
      <t>カオク</t>
    </rPh>
    <rPh sb="5" eb="7">
      <t>シュトク</t>
    </rPh>
    <rPh sb="8" eb="10">
      <t>バアイ</t>
    </rPh>
    <rPh sb="11" eb="13">
      <t>トクレイ</t>
    </rPh>
    <phoneticPr fontId="21"/>
  </si>
  <si>
    <t>震災により滅失等した家屋の代替資産を取得した場合は，価格に，被災家屋の代替家屋に対する床面積の割合を乗じた額を価格から控除</t>
    <rPh sb="0" eb="2">
      <t>シンサイ</t>
    </rPh>
    <rPh sb="5" eb="7">
      <t>メッシツ</t>
    </rPh>
    <rPh sb="7" eb="8">
      <t>トウ</t>
    </rPh>
    <rPh sb="10" eb="12">
      <t>カオク</t>
    </rPh>
    <rPh sb="13" eb="15">
      <t>ダイタイ</t>
    </rPh>
    <rPh sb="15" eb="17">
      <t>シサン</t>
    </rPh>
    <rPh sb="18" eb="20">
      <t>シュトク</t>
    </rPh>
    <rPh sb="22" eb="24">
      <t>バアイ</t>
    </rPh>
    <rPh sb="26" eb="28">
      <t>カカク</t>
    </rPh>
    <rPh sb="30" eb="32">
      <t>ヒサイ</t>
    </rPh>
    <rPh sb="32" eb="34">
      <t>カオク</t>
    </rPh>
    <rPh sb="35" eb="37">
      <t>ダイタイ</t>
    </rPh>
    <rPh sb="37" eb="39">
      <t>カオク</t>
    </rPh>
    <rPh sb="40" eb="41">
      <t>タイ</t>
    </rPh>
    <rPh sb="43" eb="46">
      <t>ユカメンセキ</t>
    </rPh>
    <rPh sb="47" eb="49">
      <t>ワリアイ</t>
    </rPh>
    <rPh sb="50" eb="51">
      <t>ジョウ</t>
    </rPh>
    <rPh sb="53" eb="54">
      <t>ガク</t>
    </rPh>
    <rPh sb="55" eb="57">
      <t>カカク</t>
    </rPh>
    <rPh sb="59" eb="61">
      <t>コウジョ</t>
    </rPh>
    <phoneticPr fontId="21"/>
  </si>
  <si>
    <t>～12.3.31の取得
⇒～17.3.31
⇒～19.3.31
（一部地域は～22.3.31）</t>
    <rPh sb="9" eb="11">
      <t>シュトク</t>
    </rPh>
    <rPh sb="33" eb="35">
      <t>イチブ</t>
    </rPh>
    <rPh sb="35" eb="37">
      <t>チイキ</t>
    </rPh>
    <phoneticPr fontId="21"/>
  </si>
  <si>
    <t>法附11(15)
地法改附
　（H17)4</t>
    <rPh sb="0" eb="1">
      <t>ホウ</t>
    </rPh>
    <rPh sb="1" eb="2">
      <t>フ</t>
    </rPh>
    <rPh sb="10" eb="11">
      <t>チ</t>
    </rPh>
    <rPh sb="11" eb="12">
      <t>ホウ</t>
    </rPh>
    <rPh sb="12" eb="13">
      <t>カイ</t>
    </rPh>
    <rPh sb="13" eb="14">
      <t>フ</t>
    </rPh>
    <phoneticPr fontId="21"/>
  </si>
  <si>
    <t>平11創設
平12延長
平17延長</t>
    <rPh sb="0" eb="1">
      <t>ヘイ</t>
    </rPh>
    <rPh sb="3" eb="5">
      <t>ソウセツ</t>
    </rPh>
    <rPh sb="7" eb="8">
      <t>ヘイ</t>
    </rPh>
    <rPh sb="10" eb="12">
      <t>エンチョウ</t>
    </rPh>
    <rPh sb="13" eb="14">
      <t>ヘイ</t>
    </rPh>
    <rPh sb="16" eb="18">
      <t>エンチョウ</t>
    </rPh>
    <phoneticPr fontId="21"/>
  </si>
  <si>
    <t>自動車税</t>
    <rPh sb="0" eb="3">
      <t>ジドウシャ</t>
    </rPh>
    <rPh sb="3" eb="4">
      <t>ゼイ</t>
    </rPh>
    <phoneticPr fontId="21"/>
  </si>
  <si>
    <t>運行不能期間相当分の減免</t>
    <rPh sb="0" eb="2">
      <t>ウンコウ</t>
    </rPh>
    <rPh sb="2" eb="4">
      <t>フノウ</t>
    </rPh>
    <rPh sb="4" eb="6">
      <t>キカン</t>
    </rPh>
    <rPh sb="6" eb="9">
      <t>ソウトウブン</t>
    </rPh>
    <rPh sb="10" eb="12">
      <t>ゲンメン</t>
    </rPh>
    <phoneticPr fontId="21"/>
  </si>
  <si>
    <t>損壊した自動車の運行不能の期間相当分の税額を免除（一般制度。申請期限延長）</t>
    <rPh sb="0" eb="2">
      <t>ソンカイ</t>
    </rPh>
    <rPh sb="4" eb="7">
      <t>ジドウシャ</t>
    </rPh>
    <rPh sb="8" eb="10">
      <t>ウンコウ</t>
    </rPh>
    <rPh sb="10" eb="12">
      <t>フノウ</t>
    </rPh>
    <rPh sb="13" eb="15">
      <t>キカン</t>
    </rPh>
    <rPh sb="15" eb="18">
      <t>ソウトウブン</t>
    </rPh>
    <rPh sb="19" eb="21">
      <t>ゼイガク</t>
    </rPh>
    <rPh sb="22" eb="24">
      <t>メンジョ</t>
    </rPh>
    <rPh sb="25" eb="27">
      <t>イッパン</t>
    </rPh>
    <rPh sb="27" eb="29">
      <t>セイド</t>
    </rPh>
    <rPh sb="30" eb="32">
      <t>シンセイ</t>
    </rPh>
    <rPh sb="32" eb="34">
      <t>キゲン</t>
    </rPh>
    <rPh sb="34" eb="36">
      <t>エンチョウ</t>
    </rPh>
    <phoneticPr fontId="21"/>
  </si>
  <si>
    <t>7年1月分以降</t>
    <rPh sb="1" eb="2">
      <t>ネン</t>
    </rPh>
    <rPh sb="3" eb="5">
      <t>ガツブン</t>
    </rPh>
    <rPh sb="5" eb="7">
      <t>イコウ</t>
    </rPh>
    <phoneticPr fontId="21"/>
  </si>
  <si>
    <t>自動車取得税</t>
    <rPh sb="0" eb="3">
      <t>ジドウシャ</t>
    </rPh>
    <rPh sb="3" eb="5">
      <t>シュトク</t>
    </rPh>
    <rPh sb="5" eb="6">
      <t>ゼイ</t>
    </rPh>
    <phoneticPr fontId="21"/>
  </si>
  <si>
    <t>代替自動車の取得の場合の減免</t>
    <rPh sb="0" eb="2">
      <t>ダイタイ</t>
    </rPh>
    <rPh sb="2" eb="5">
      <t>ジドウシャ</t>
    </rPh>
    <rPh sb="6" eb="8">
      <t>シュトク</t>
    </rPh>
    <rPh sb="9" eb="11">
      <t>バアイ</t>
    </rPh>
    <rPh sb="12" eb="14">
      <t>ゲンメン</t>
    </rPh>
    <phoneticPr fontId="21"/>
  </si>
  <si>
    <t>滅失等した自動車の代替自動車を取得した場合は，滅失等した自動車の取引価額相当分に対する税額を免除（一般制度。取得期間は震災特例（通常災害がやんだ日から3か月））</t>
    <rPh sb="0" eb="2">
      <t>メッシツ</t>
    </rPh>
    <rPh sb="2" eb="3">
      <t>トウ</t>
    </rPh>
    <rPh sb="5" eb="8">
      <t>ジドウシャ</t>
    </rPh>
    <rPh sb="9" eb="11">
      <t>ダイタイ</t>
    </rPh>
    <rPh sb="11" eb="14">
      <t>ジドウシャ</t>
    </rPh>
    <rPh sb="15" eb="17">
      <t>シュトク</t>
    </rPh>
    <rPh sb="19" eb="21">
      <t>バアイ</t>
    </rPh>
    <rPh sb="23" eb="25">
      <t>メッシツ</t>
    </rPh>
    <rPh sb="25" eb="26">
      <t>トウ</t>
    </rPh>
    <rPh sb="28" eb="31">
      <t>ジドウシャ</t>
    </rPh>
    <rPh sb="32" eb="34">
      <t>トリヒキ</t>
    </rPh>
    <rPh sb="34" eb="36">
      <t>カガク</t>
    </rPh>
    <rPh sb="36" eb="39">
      <t>ソウトウブン</t>
    </rPh>
    <rPh sb="40" eb="41">
      <t>タイ</t>
    </rPh>
    <rPh sb="43" eb="45">
      <t>ゼイガク</t>
    </rPh>
    <rPh sb="46" eb="48">
      <t>メンジョ</t>
    </rPh>
    <rPh sb="49" eb="51">
      <t>イッパン</t>
    </rPh>
    <rPh sb="51" eb="53">
      <t>セイド</t>
    </rPh>
    <rPh sb="54" eb="56">
      <t>シュトク</t>
    </rPh>
    <rPh sb="56" eb="58">
      <t>キカン</t>
    </rPh>
    <rPh sb="59" eb="61">
      <t>シンサイ</t>
    </rPh>
    <rPh sb="61" eb="63">
      <t>トクレイ</t>
    </rPh>
    <rPh sb="64" eb="66">
      <t>ツウジョウ</t>
    </rPh>
    <rPh sb="66" eb="68">
      <t>サイガイ</t>
    </rPh>
    <rPh sb="72" eb="73">
      <t>ヒ</t>
    </rPh>
    <rPh sb="77" eb="78">
      <t>ゲツ</t>
    </rPh>
    <phoneticPr fontId="21"/>
  </si>
  <si>
    <t>～8.5.31の
取得</t>
    <rPh sb="9" eb="11">
      <t>シュトク</t>
    </rPh>
    <phoneticPr fontId="21"/>
  </si>
  <si>
    <t>⑤　地方税の減免に係る財政措置の特例　（歳入欠かん等債発行及び歳入欠かん等債発行に係る財源措置の特例）</t>
  </si>
  <si>
    <t>特別財政援助法第80条に基づく
歳入欠かん等債（震災特例）</t>
    <rPh sb="0" eb="2">
      <t>トクベツ</t>
    </rPh>
    <rPh sb="2" eb="4">
      <t>ザイセイ</t>
    </rPh>
    <rPh sb="4" eb="6">
      <t>エンジョ</t>
    </rPh>
    <rPh sb="6" eb="7">
      <t>ホウ</t>
    </rPh>
    <rPh sb="7" eb="8">
      <t>ダイ</t>
    </rPh>
    <rPh sb="10" eb="11">
      <t>ジョウ</t>
    </rPh>
    <rPh sb="12" eb="13">
      <t>モト</t>
    </rPh>
    <rPh sb="16" eb="18">
      <t>サイニュウ</t>
    </rPh>
    <rPh sb="18" eb="19">
      <t>ケツ</t>
    </rPh>
    <rPh sb="21" eb="22">
      <t>ナド</t>
    </rPh>
    <rPh sb="22" eb="23">
      <t>サイ</t>
    </rPh>
    <rPh sb="24" eb="26">
      <t>シンサイ</t>
    </rPh>
    <rPh sb="26" eb="28">
      <t>トクレイ</t>
    </rPh>
    <phoneticPr fontId="21"/>
  </si>
  <si>
    <t>災対法第102条に基づく
歳入欠かん等債</t>
    <rPh sb="0" eb="1">
      <t>サイ</t>
    </rPh>
    <rPh sb="1" eb="2">
      <t>タイ</t>
    </rPh>
    <rPh sb="2" eb="3">
      <t>ホウ</t>
    </rPh>
    <rPh sb="3" eb="4">
      <t>ダイ</t>
    </rPh>
    <rPh sb="6" eb="8">
      <t>ニジョウ</t>
    </rPh>
    <rPh sb="9" eb="10">
      <t>モト</t>
    </rPh>
    <rPh sb="13" eb="15">
      <t>サイニュウ</t>
    </rPh>
    <rPh sb="15" eb="16">
      <t>ケツ</t>
    </rPh>
    <rPh sb="18" eb="19">
      <t>ナド</t>
    </rPh>
    <rPh sb="19" eb="20">
      <t>サイ</t>
    </rPh>
    <phoneticPr fontId="21"/>
  </si>
  <si>
    <t>発行災害</t>
    <rPh sb="0" eb="2">
      <t>ハッコウ</t>
    </rPh>
    <rPh sb="2" eb="4">
      <t>サイガイ</t>
    </rPh>
    <phoneticPr fontId="21"/>
  </si>
  <si>
    <t>阪神・淡路大震災</t>
    <rPh sb="0" eb="2">
      <t>ハンシン</t>
    </rPh>
    <rPh sb="3" eb="5">
      <t>アワジ</t>
    </rPh>
    <rPh sb="5" eb="8">
      <t>ダイシンサイ</t>
    </rPh>
    <phoneticPr fontId="21"/>
  </si>
  <si>
    <t>激甚災害</t>
    <rPh sb="0" eb="2">
      <t>ゲキジン</t>
    </rPh>
    <rPh sb="2" eb="4">
      <t>サイガイ</t>
    </rPh>
    <phoneticPr fontId="21"/>
  </si>
  <si>
    <t>発行団体</t>
    <rPh sb="0" eb="2">
      <t>ハッコウ</t>
    </rPh>
    <rPh sb="2" eb="4">
      <t>ダンタイ</t>
    </rPh>
    <phoneticPr fontId="21"/>
  </si>
  <si>
    <t>災害救助事業が行われた市町村及びそれを包括する府県
（1府 1県 15市 10町）</t>
    <rPh sb="0" eb="2">
      <t>サイガイ</t>
    </rPh>
    <rPh sb="2" eb="4">
      <t>キュウジョ</t>
    </rPh>
    <rPh sb="4" eb="6">
      <t>ジギョウ</t>
    </rPh>
    <rPh sb="7" eb="8">
      <t>オコナ</t>
    </rPh>
    <rPh sb="11" eb="13">
      <t>シチョウ</t>
    </rPh>
    <rPh sb="13" eb="14">
      <t>ソン</t>
    </rPh>
    <rPh sb="14" eb="15">
      <t>オヨ</t>
    </rPh>
    <rPh sb="19" eb="21">
      <t>ホウカツ</t>
    </rPh>
    <rPh sb="23" eb="25">
      <t>フケン</t>
    </rPh>
    <rPh sb="28" eb="29">
      <t>フ</t>
    </rPh>
    <rPh sb="31" eb="32">
      <t>ケン</t>
    </rPh>
    <rPh sb="35" eb="36">
      <t>シ</t>
    </rPh>
    <rPh sb="39" eb="40">
      <t>チョウ</t>
    </rPh>
    <phoneticPr fontId="21"/>
  </si>
  <si>
    <t>特別財政援助法80
特別財政援助法消防施設等政令2(1)(2)
平成7年自治省告示第64号（7.3.31）</t>
    <rPh sb="0" eb="2">
      <t>トクベツ</t>
    </rPh>
    <rPh sb="2" eb="4">
      <t>ザイセイ</t>
    </rPh>
    <rPh sb="4" eb="6">
      <t>エンジョ</t>
    </rPh>
    <rPh sb="6" eb="7">
      <t>ホウ</t>
    </rPh>
    <rPh sb="10" eb="12">
      <t>トクベツ</t>
    </rPh>
    <rPh sb="12" eb="14">
      <t>ザイセイ</t>
    </rPh>
    <rPh sb="14" eb="16">
      <t>エンジョ</t>
    </rPh>
    <rPh sb="16" eb="17">
      <t>ホウ</t>
    </rPh>
    <rPh sb="17" eb="19">
      <t>ショウボウ</t>
    </rPh>
    <rPh sb="19" eb="21">
      <t>シセツ</t>
    </rPh>
    <rPh sb="21" eb="22">
      <t>トウ</t>
    </rPh>
    <rPh sb="22" eb="24">
      <t>セイレイ</t>
    </rPh>
    <rPh sb="32" eb="34">
      <t>ヘイセイ</t>
    </rPh>
    <rPh sb="35" eb="36">
      <t>ネン</t>
    </rPh>
    <rPh sb="36" eb="38">
      <t>ジチ</t>
    </rPh>
    <rPh sb="38" eb="39">
      <t>ショウ</t>
    </rPh>
    <rPh sb="39" eb="41">
      <t>コクジ</t>
    </rPh>
    <rPh sb="41" eb="42">
      <t>ダイ</t>
    </rPh>
    <rPh sb="44" eb="45">
      <t>ゴウ</t>
    </rPh>
    <phoneticPr fontId="21"/>
  </si>
  <si>
    <t>①一定の災害復旧事業のある都道府県・市町村
②一定の災害救助事業が行われた市町村</t>
    <rPh sb="1" eb="3">
      <t>イッテイ</t>
    </rPh>
    <rPh sb="4" eb="6">
      <t>サイガイ</t>
    </rPh>
    <rPh sb="6" eb="8">
      <t>フッキュウ</t>
    </rPh>
    <rPh sb="8" eb="10">
      <t>ジギョウ</t>
    </rPh>
    <rPh sb="13" eb="14">
      <t>ミヤコ</t>
    </rPh>
    <rPh sb="14" eb="15">
      <t>ドウ</t>
    </rPh>
    <rPh sb="15" eb="16">
      <t>フ</t>
    </rPh>
    <rPh sb="16" eb="17">
      <t>ケン</t>
    </rPh>
    <rPh sb="18" eb="20">
      <t>シチョウ</t>
    </rPh>
    <rPh sb="20" eb="21">
      <t>ソン</t>
    </rPh>
    <rPh sb="23" eb="25">
      <t>イッテイ</t>
    </rPh>
    <rPh sb="26" eb="28">
      <t>サイガイ</t>
    </rPh>
    <rPh sb="28" eb="30">
      <t>キュウジョ</t>
    </rPh>
    <rPh sb="30" eb="32">
      <t>ジギョウ</t>
    </rPh>
    <rPh sb="33" eb="34">
      <t>オコナ</t>
    </rPh>
    <rPh sb="37" eb="38">
      <t>シ</t>
    </rPh>
    <rPh sb="38" eb="39">
      <t>マチ</t>
    </rPh>
    <rPh sb="39" eb="40">
      <t>ソン</t>
    </rPh>
    <phoneticPr fontId="21"/>
  </si>
  <si>
    <t>災対法102
災対令43</t>
    <rPh sb="0" eb="1">
      <t>サイ</t>
    </rPh>
    <rPh sb="1" eb="2">
      <t>タイ</t>
    </rPh>
    <rPh sb="2" eb="3">
      <t>ホウ</t>
    </rPh>
    <rPh sb="7" eb="8">
      <t>サイ</t>
    </rPh>
    <rPh sb="8" eb="9">
      <t>タイ</t>
    </rPh>
    <rPh sb="9" eb="10">
      <t>レイ</t>
    </rPh>
    <phoneticPr fontId="21"/>
  </si>
  <si>
    <t>歳入欠かん等債を充てることができる地方税</t>
    <rPh sb="0" eb="2">
      <t>サイニュウ</t>
    </rPh>
    <rPh sb="2" eb="3">
      <t>ケツ</t>
    </rPh>
    <rPh sb="5" eb="6">
      <t>トウ</t>
    </rPh>
    <rPh sb="6" eb="7">
      <t>サイ</t>
    </rPh>
    <rPh sb="8" eb="9">
      <t>ア</t>
    </rPh>
    <rPh sb="17" eb="20">
      <t>チホウゼイ</t>
    </rPh>
    <phoneticPr fontId="21"/>
  </si>
  <si>
    <t>普通税
目的税のうち事業所税及び都市計画税</t>
    <rPh sb="0" eb="2">
      <t>フツウ</t>
    </rPh>
    <rPh sb="2" eb="3">
      <t>ゼイ</t>
    </rPh>
    <rPh sb="4" eb="7">
      <t>モクテキゼイ</t>
    </rPh>
    <rPh sb="10" eb="13">
      <t>ジギョウショ</t>
    </rPh>
    <rPh sb="13" eb="14">
      <t>ゼイ</t>
    </rPh>
    <rPh sb="14" eb="15">
      <t>オヨ</t>
    </rPh>
    <rPh sb="16" eb="18">
      <t>トシ</t>
    </rPh>
    <rPh sb="18" eb="20">
      <t>ケイカク</t>
    </rPh>
    <rPh sb="20" eb="21">
      <t>ゼイ</t>
    </rPh>
    <phoneticPr fontId="21"/>
  </si>
  <si>
    <t>特別財政援助法80
特別財政援助法徴収金等の範囲省令1</t>
    <rPh sb="0" eb="2">
      <t>トクベツ</t>
    </rPh>
    <rPh sb="2" eb="4">
      <t>ザイセイ</t>
    </rPh>
    <rPh sb="4" eb="6">
      <t>エンジョ</t>
    </rPh>
    <rPh sb="6" eb="7">
      <t>ホウ</t>
    </rPh>
    <rPh sb="10" eb="12">
      <t>トクベツ</t>
    </rPh>
    <rPh sb="12" eb="14">
      <t>ザイセイ</t>
    </rPh>
    <rPh sb="14" eb="16">
      <t>エンジョ</t>
    </rPh>
    <rPh sb="16" eb="17">
      <t>ホウ</t>
    </rPh>
    <rPh sb="17" eb="19">
      <t>チョウシュウ</t>
    </rPh>
    <rPh sb="19" eb="20">
      <t>キン</t>
    </rPh>
    <rPh sb="20" eb="21">
      <t>トウ</t>
    </rPh>
    <rPh sb="22" eb="24">
      <t>ハンイ</t>
    </rPh>
    <rPh sb="24" eb="26">
      <t>ショウレイ</t>
    </rPh>
    <phoneticPr fontId="21"/>
  </si>
  <si>
    <t>普通税のみ</t>
    <rPh sb="0" eb="2">
      <t>フツウ</t>
    </rPh>
    <rPh sb="2" eb="3">
      <t>ゼイ</t>
    </rPh>
    <phoneticPr fontId="21"/>
  </si>
  <si>
    <t>災対法102
災対法徴収金等の
範囲省令1</t>
    <rPh sb="0" eb="1">
      <t>サイ</t>
    </rPh>
    <rPh sb="1" eb="2">
      <t>タイ</t>
    </rPh>
    <rPh sb="2" eb="3">
      <t>ホウ</t>
    </rPh>
    <rPh sb="7" eb="8">
      <t>サイ</t>
    </rPh>
    <rPh sb="8" eb="9">
      <t>タイ</t>
    </rPh>
    <rPh sb="9" eb="10">
      <t>ホウ</t>
    </rPh>
    <rPh sb="10" eb="12">
      <t>チョウシュウ</t>
    </rPh>
    <rPh sb="12" eb="13">
      <t>キン</t>
    </rPh>
    <rPh sb="13" eb="14">
      <t>トウ</t>
    </rPh>
    <rPh sb="16" eb="18">
      <t>ハンイ</t>
    </rPh>
    <rPh sb="18" eb="20">
      <t>ショウレイ</t>
    </rPh>
    <phoneticPr fontId="21"/>
  </si>
  <si>
    <t>発行年度</t>
    <rPh sb="0" eb="2">
      <t>ハッコウ</t>
    </rPh>
    <rPh sb="2" eb="4">
      <t>ネンド</t>
    </rPh>
    <phoneticPr fontId="21"/>
  </si>
  <si>
    <t>平成6年度及び平成7年度</t>
    <rPh sb="0" eb="2">
      <t>ヘイセイ</t>
    </rPh>
    <rPh sb="3" eb="5">
      <t>ネンド</t>
    </rPh>
    <rPh sb="5" eb="6">
      <t>オヨ</t>
    </rPh>
    <rPh sb="7" eb="9">
      <t>ヘイセイ</t>
    </rPh>
    <rPh sb="10" eb="12">
      <t>ネンド</t>
    </rPh>
    <phoneticPr fontId="21"/>
  </si>
  <si>
    <t>特別財政援助法80</t>
    <rPh sb="0" eb="2">
      <t>トクベツ</t>
    </rPh>
    <rPh sb="2" eb="4">
      <t>ザイセイ</t>
    </rPh>
    <rPh sb="4" eb="6">
      <t>エンジョ</t>
    </rPh>
    <rPh sb="6" eb="7">
      <t>ホウ</t>
    </rPh>
    <phoneticPr fontId="21"/>
  </si>
  <si>
    <t>災害の発生した年度</t>
    <rPh sb="0" eb="2">
      <t>サイガイ</t>
    </rPh>
    <rPh sb="3" eb="5">
      <t>ハッセイ</t>
    </rPh>
    <rPh sb="7" eb="9">
      <t>ネンド</t>
    </rPh>
    <phoneticPr fontId="21"/>
  </si>
  <si>
    <t>災対法102</t>
    <rPh sb="0" eb="1">
      <t>サイ</t>
    </rPh>
    <rPh sb="1" eb="2">
      <t>タイ</t>
    </rPh>
    <rPh sb="2" eb="3">
      <t>ホウ</t>
    </rPh>
    <phoneticPr fontId="21"/>
  </si>
  <si>
    <t>発行条件</t>
    <rPh sb="0" eb="2">
      <t>ハッコウ</t>
    </rPh>
    <rPh sb="2" eb="4">
      <t>ジョウケン</t>
    </rPh>
    <phoneticPr fontId="21"/>
  </si>
  <si>
    <t>政府資金10年（うち2年据置）</t>
    <rPh sb="0" eb="2">
      <t>セイフ</t>
    </rPh>
    <rPh sb="2" eb="4">
      <t>シキン</t>
    </rPh>
    <rPh sb="6" eb="7">
      <t>ネン</t>
    </rPh>
    <rPh sb="11" eb="12">
      <t>ネン</t>
    </rPh>
    <rPh sb="12" eb="14">
      <t>スエオキ</t>
    </rPh>
    <phoneticPr fontId="21"/>
  </si>
  <si>
    <t>特別財政援助法80
特別財政援助法消防施設等政令2(3)(4)</t>
    <rPh sb="0" eb="2">
      <t>トクベツ</t>
    </rPh>
    <rPh sb="2" eb="4">
      <t>ザイセイ</t>
    </rPh>
    <rPh sb="4" eb="6">
      <t>エンジョ</t>
    </rPh>
    <rPh sb="6" eb="7">
      <t>ホウ</t>
    </rPh>
    <rPh sb="10" eb="12">
      <t>トクベツ</t>
    </rPh>
    <rPh sb="12" eb="14">
      <t>ザイセイ</t>
    </rPh>
    <rPh sb="14" eb="16">
      <t>エンジョ</t>
    </rPh>
    <rPh sb="16" eb="17">
      <t>ホウ</t>
    </rPh>
    <rPh sb="17" eb="19">
      <t>ショウボウ</t>
    </rPh>
    <rPh sb="19" eb="22">
      <t>シセツナド</t>
    </rPh>
    <rPh sb="22" eb="24">
      <t>セイレイ</t>
    </rPh>
    <phoneticPr fontId="21"/>
  </si>
  <si>
    <t>政府資金4年（うち1年据置）</t>
    <rPh sb="0" eb="2">
      <t>セイフ</t>
    </rPh>
    <rPh sb="2" eb="4">
      <t>シキン</t>
    </rPh>
    <rPh sb="5" eb="6">
      <t>ネン</t>
    </rPh>
    <rPh sb="10" eb="11">
      <t>ネン</t>
    </rPh>
    <rPh sb="11" eb="13">
      <t>スエオキ</t>
    </rPh>
    <phoneticPr fontId="21"/>
  </si>
  <si>
    <t>財源措置</t>
    <rPh sb="0" eb="2">
      <t>ザイゲン</t>
    </rPh>
    <rPh sb="2" eb="4">
      <t>ソチ</t>
    </rPh>
    <phoneticPr fontId="21"/>
  </si>
  <si>
    <t>元利償還金について県分80％，市町村分75％（固定資産税の減免のうち損害の程度が100分の3以上10分の2未満の農地若しくは宅地に係るものについては37.5％）を特別交付税措置</t>
    <rPh sb="0" eb="2">
      <t>ガンリ</t>
    </rPh>
    <rPh sb="2" eb="5">
      <t>ショウカンキン</t>
    </rPh>
    <rPh sb="9" eb="10">
      <t>ケン</t>
    </rPh>
    <rPh sb="10" eb="11">
      <t>ブン</t>
    </rPh>
    <rPh sb="15" eb="17">
      <t>シチョウ</t>
    </rPh>
    <rPh sb="17" eb="18">
      <t>ソン</t>
    </rPh>
    <rPh sb="18" eb="19">
      <t>ブン</t>
    </rPh>
    <rPh sb="23" eb="25">
      <t>コテイ</t>
    </rPh>
    <rPh sb="25" eb="28">
      <t>シサンゼイ</t>
    </rPh>
    <rPh sb="29" eb="31">
      <t>ゲンメン</t>
    </rPh>
    <rPh sb="34" eb="36">
      <t>ソンガイ</t>
    </rPh>
    <rPh sb="37" eb="39">
      <t>テイド</t>
    </rPh>
    <rPh sb="43" eb="44">
      <t>ブン</t>
    </rPh>
    <rPh sb="46" eb="48">
      <t>イジョウ</t>
    </rPh>
    <rPh sb="50" eb="51">
      <t>ブン</t>
    </rPh>
    <rPh sb="53" eb="55">
      <t>ミマン</t>
    </rPh>
    <rPh sb="56" eb="58">
      <t>ノウチ</t>
    </rPh>
    <rPh sb="58" eb="59">
      <t>モ</t>
    </rPh>
    <rPh sb="62" eb="64">
      <t>タクチ</t>
    </rPh>
    <rPh sb="65" eb="66">
      <t>カカ</t>
    </rPh>
    <rPh sb="81" eb="83">
      <t>トクベツ</t>
    </rPh>
    <rPh sb="83" eb="86">
      <t>コウフゼイ</t>
    </rPh>
    <rPh sb="86" eb="88">
      <t>ソチ</t>
    </rPh>
    <phoneticPr fontId="21"/>
  </si>
  <si>
    <t>特別交付税に関する省令</t>
    <rPh sb="0" eb="2">
      <t>トクベツ</t>
    </rPh>
    <rPh sb="2" eb="5">
      <t>コウフゼイ</t>
    </rPh>
    <rPh sb="6" eb="7">
      <t>カン</t>
    </rPh>
    <rPh sb="9" eb="11">
      <t>ショウレイ</t>
    </rPh>
    <phoneticPr fontId="21"/>
  </si>
  <si>
    <t>元利償還金について57％を特別交付税措置</t>
    <rPh sb="0" eb="2">
      <t>ガンリ</t>
    </rPh>
    <rPh sb="2" eb="5">
      <t>ショウカンキン</t>
    </rPh>
    <rPh sb="13" eb="15">
      <t>トクベツ</t>
    </rPh>
    <rPh sb="15" eb="18">
      <t>コウフゼイ</t>
    </rPh>
    <rPh sb="18" eb="20">
      <t>ソチ</t>
    </rPh>
    <phoneticPr fontId="21"/>
  </si>
  <si>
    <t>〈凡例〉
・特別財政援助法…阪神・淡路大震災に対処するための特別の財政援助及び助成に関する法律（平成7年3月1日法律第16号）
・特別財政援助法消防施設等政令…阪神・淡路大震災に対処するための特別の財政援助及び助成に関する法律第79条の消防施設等を
　定める政令（平成7年3月1日政令第48号）
・特別財政援助法徴収金等の範囲省令…阪神・淡路大震災に対処するための特別の財政援助及び助成に関する法律第80条第1項の徴収
　金等の範囲を定める省令（平成7年3月9日自治省令第4号）
・災対法…災害対策基本法（昭和36年政令223号）
・災対令…災害対策基本法施行令（昭和37年政令288号）
・災対法徴収金等の範囲省令…災害対策基本法第102条第1項の徴収金等の範囲を定める省令（昭和37年自治省令第23号）</t>
    <rPh sb="1" eb="3">
      <t>ハンレイ</t>
    </rPh>
    <rPh sb="6" eb="8">
      <t>トクベツ</t>
    </rPh>
    <rPh sb="8" eb="10">
      <t>ザイセイ</t>
    </rPh>
    <rPh sb="10" eb="12">
      <t>エンジョ</t>
    </rPh>
    <rPh sb="12" eb="13">
      <t>ホウ</t>
    </rPh>
    <rPh sb="14" eb="16">
      <t>ハンシン</t>
    </rPh>
    <rPh sb="17" eb="19">
      <t>アワジ</t>
    </rPh>
    <rPh sb="19" eb="22">
      <t>ダイシンサイ</t>
    </rPh>
    <rPh sb="23" eb="25">
      <t>タイショ</t>
    </rPh>
    <rPh sb="30" eb="32">
      <t>トクベツ</t>
    </rPh>
    <rPh sb="33" eb="35">
      <t>ザイセイ</t>
    </rPh>
    <rPh sb="35" eb="37">
      <t>エンジョ</t>
    </rPh>
    <rPh sb="37" eb="38">
      <t>オヨ</t>
    </rPh>
    <rPh sb="39" eb="41">
      <t>ジョセイ</t>
    </rPh>
    <rPh sb="42" eb="43">
      <t>カン</t>
    </rPh>
    <rPh sb="45" eb="47">
      <t>ホウリツ</t>
    </rPh>
    <rPh sb="48" eb="50">
      <t>ヘイセイ</t>
    </rPh>
    <rPh sb="51" eb="52">
      <t>ネン</t>
    </rPh>
    <rPh sb="53" eb="54">
      <t>ガツ</t>
    </rPh>
    <rPh sb="55" eb="56">
      <t>ニチ</t>
    </rPh>
    <rPh sb="56" eb="58">
      <t>ホウリツ</t>
    </rPh>
    <rPh sb="58" eb="59">
      <t>ダイ</t>
    </rPh>
    <rPh sb="61" eb="62">
      <t>ゴウ</t>
    </rPh>
    <rPh sb="65" eb="67">
      <t>トクベツ</t>
    </rPh>
    <rPh sb="67" eb="69">
      <t>ザイセイ</t>
    </rPh>
    <rPh sb="69" eb="71">
      <t>エンジョ</t>
    </rPh>
    <rPh sb="71" eb="72">
      <t>ホウ</t>
    </rPh>
    <rPh sb="72" eb="74">
      <t>ショウボウ</t>
    </rPh>
    <rPh sb="74" eb="76">
      <t>シセツ</t>
    </rPh>
    <rPh sb="76" eb="77">
      <t>トウ</t>
    </rPh>
    <rPh sb="77" eb="79">
      <t>セイレイ</t>
    </rPh>
    <rPh sb="80" eb="82">
      <t>ハンシン</t>
    </rPh>
    <rPh sb="83" eb="85">
      <t>アワジ</t>
    </rPh>
    <rPh sb="85" eb="88">
      <t>ダイシンサイ</t>
    </rPh>
    <rPh sb="89" eb="91">
      <t>タイショ</t>
    </rPh>
    <rPh sb="96" eb="98">
      <t>トクベツ</t>
    </rPh>
    <rPh sb="99" eb="101">
      <t>ザイセイ</t>
    </rPh>
    <rPh sb="101" eb="103">
      <t>エンジョ</t>
    </rPh>
    <rPh sb="103" eb="104">
      <t>オヨ</t>
    </rPh>
    <rPh sb="105" eb="107">
      <t>ジョセイ</t>
    </rPh>
    <rPh sb="108" eb="109">
      <t>カン</t>
    </rPh>
    <rPh sb="111" eb="113">
      <t>ホウリツ</t>
    </rPh>
    <rPh sb="113" eb="114">
      <t>ダイ</t>
    </rPh>
    <rPh sb="116" eb="117">
      <t>ジョウ</t>
    </rPh>
    <rPh sb="118" eb="120">
      <t>ショウボウ</t>
    </rPh>
    <rPh sb="120" eb="122">
      <t>シセツ</t>
    </rPh>
    <rPh sb="122" eb="123">
      <t>トウ</t>
    </rPh>
    <rPh sb="126" eb="127">
      <t>サダ</t>
    </rPh>
    <rPh sb="129" eb="131">
      <t>セイレイ</t>
    </rPh>
    <rPh sb="132" eb="134">
      <t>ヘイセイ</t>
    </rPh>
    <rPh sb="135" eb="136">
      <t>ネン</t>
    </rPh>
    <rPh sb="137" eb="138">
      <t>ガツ</t>
    </rPh>
    <rPh sb="139" eb="140">
      <t>ニチ</t>
    </rPh>
    <rPh sb="140" eb="142">
      <t>セイレイ</t>
    </rPh>
    <rPh sb="142" eb="143">
      <t>ダイ</t>
    </rPh>
    <rPh sb="145" eb="146">
      <t>ゴウ</t>
    </rPh>
    <rPh sb="149" eb="151">
      <t>トクベツ</t>
    </rPh>
    <rPh sb="151" eb="153">
      <t>ザイセイ</t>
    </rPh>
    <rPh sb="153" eb="155">
      <t>エンジョ</t>
    </rPh>
    <rPh sb="155" eb="156">
      <t>ホウ</t>
    </rPh>
    <rPh sb="156" eb="158">
      <t>チョウシュウ</t>
    </rPh>
    <rPh sb="158" eb="159">
      <t>キン</t>
    </rPh>
    <rPh sb="159" eb="160">
      <t>トウ</t>
    </rPh>
    <rPh sb="161" eb="163">
      <t>ハンイ</t>
    </rPh>
    <rPh sb="163" eb="165">
      <t>ショウレイ</t>
    </rPh>
    <rPh sb="166" eb="168">
      <t>ハンシン</t>
    </rPh>
    <rPh sb="169" eb="171">
      <t>アワジ</t>
    </rPh>
    <rPh sb="171" eb="174">
      <t>ダイシンサイ</t>
    </rPh>
    <rPh sb="175" eb="177">
      <t>タイショ</t>
    </rPh>
    <rPh sb="182" eb="184">
      <t>トクベツ</t>
    </rPh>
    <rPh sb="185" eb="187">
      <t>ザイセイ</t>
    </rPh>
    <rPh sb="187" eb="189">
      <t>エンジョ</t>
    </rPh>
    <rPh sb="189" eb="190">
      <t>オヨ</t>
    </rPh>
    <rPh sb="191" eb="193">
      <t>ジョセイ</t>
    </rPh>
    <rPh sb="194" eb="195">
      <t>カン</t>
    </rPh>
    <rPh sb="197" eb="199">
      <t>ホウリツ</t>
    </rPh>
    <rPh sb="199" eb="200">
      <t>ダイ</t>
    </rPh>
    <rPh sb="202" eb="203">
      <t>ジョウ</t>
    </rPh>
    <rPh sb="203" eb="204">
      <t>ダイ</t>
    </rPh>
    <rPh sb="205" eb="206">
      <t>コウ</t>
    </rPh>
    <rPh sb="207" eb="209">
      <t>チョウシュウ</t>
    </rPh>
    <rPh sb="211" eb="212">
      <t>キン</t>
    </rPh>
    <rPh sb="212" eb="213">
      <t>トウ</t>
    </rPh>
    <rPh sb="217" eb="218">
      <t>サダ</t>
    </rPh>
    <rPh sb="220" eb="222">
      <t>ショウレイ</t>
    </rPh>
    <rPh sb="223" eb="225">
      <t>ヘイセイ</t>
    </rPh>
    <rPh sb="226" eb="227">
      <t>ネン</t>
    </rPh>
    <rPh sb="228" eb="229">
      <t>ガツ</t>
    </rPh>
    <rPh sb="230" eb="231">
      <t>ニチ</t>
    </rPh>
    <rPh sb="231" eb="234">
      <t>ジチショウ</t>
    </rPh>
    <rPh sb="234" eb="235">
      <t>レイ</t>
    </rPh>
    <rPh sb="235" eb="236">
      <t>ダイ</t>
    </rPh>
    <rPh sb="237" eb="238">
      <t>ゴウ</t>
    </rPh>
    <rPh sb="241" eb="242">
      <t>サイ</t>
    </rPh>
    <rPh sb="242" eb="243">
      <t>タイ</t>
    </rPh>
    <rPh sb="243" eb="244">
      <t>ホウ</t>
    </rPh>
    <rPh sb="245" eb="247">
      <t>サイガイ</t>
    </rPh>
    <rPh sb="247" eb="249">
      <t>タイサク</t>
    </rPh>
    <rPh sb="249" eb="252">
      <t>キホンホウ</t>
    </rPh>
    <rPh sb="253" eb="255">
      <t>ショウワ</t>
    </rPh>
    <rPh sb="257" eb="258">
      <t>ネン</t>
    </rPh>
    <rPh sb="258" eb="260">
      <t>セイレイ</t>
    </rPh>
    <rPh sb="263" eb="264">
      <t>ゴウ</t>
    </rPh>
    <rPh sb="267" eb="268">
      <t>サイ</t>
    </rPh>
    <rPh sb="268" eb="269">
      <t>タイ</t>
    </rPh>
    <rPh sb="269" eb="270">
      <t>レイ</t>
    </rPh>
    <rPh sb="271" eb="273">
      <t>サイガイ</t>
    </rPh>
    <rPh sb="273" eb="275">
      <t>タイサク</t>
    </rPh>
    <rPh sb="275" eb="278">
      <t>キホンホウ</t>
    </rPh>
    <rPh sb="278" eb="280">
      <t>セコウ</t>
    </rPh>
    <rPh sb="280" eb="281">
      <t>レイ</t>
    </rPh>
    <rPh sb="282" eb="284">
      <t>ショウワ</t>
    </rPh>
    <rPh sb="286" eb="287">
      <t>ネン</t>
    </rPh>
    <rPh sb="287" eb="289">
      <t>セイレイ</t>
    </rPh>
    <rPh sb="292" eb="293">
      <t>ゴウ</t>
    </rPh>
    <rPh sb="296" eb="297">
      <t>サイ</t>
    </rPh>
    <rPh sb="297" eb="298">
      <t>タイ</t>
    </rPh>
    <rPh sb="298" eb="299">
      <t>ホウ</t>
    </rPh>
    <rPh sb="299" eb="301">
      <t>チョウシュウ</t>
    </rPh>
    <rPh sb="301" eb="302">
      <t>キン</t>
    </rPh>
    <rPh sb="302" eb="303">
      <t>トウ</t>
    </rPh>
    <rPh sb="304" eb="306">
      <t>ハンイ</t>
    </rPh>
    <rPh sb="306" eb="308">
      <t>ショウレイ</t>
    </rPh>
    <rPh sb="309" eb="311">
      <t>サイガイ</t>
    </rPh>
    <rPh sb="311" eb="313">
      <t>タイサク</t>
    </rPh>
    <rPh sb="313" eb="316">
      <t>キホンホウ</t>
    </rPh>
    <rPh sb="316" eb="317">
      <t>ダイ</t>
    </rPh>
    <rPh sb="320" eb="321">
      <t>ジョウ</t>
    </rPh>
    <rPh sb="321" eb="322">
      <t>ダイ</t>
    </rPh>
    <rPh sb="323" eb="324">
      <t>コウ</t>
    </rPh>
    <rPh sb="325" eb="327">
      <t>チョウシュウ</t>
    </rPh>
    <rPh sb="327" eb="328">
      <t>キン</t>
    </rPh>
    <rPh sb="328" eb="329">
      <t>トウ</t>
    </rPh>
    <rPh sb="330" eb="332">
      <t>ハンイ</t>
    </rPh>
    <rPh sb="333" eb="334">
      <t>サダ</t>
    </rPh>
    <rPh sb="336" eb="338">
      <t>ショウレイ</t>
    </rPh>
    <rPh sb="339" eb="341">
      <t>ショウワ</t>
    </rPh>
    <rPh sb="343" eb="344">
      <t>ネン</t>
    </rPh>
    <rPh sb="344" eb="346">
      <t>ジチ</t>
    </rPh>
    <rPh sb="346" eb="348">
      <t>ショウレイ</t>
    </rPh>
    <rPh sb="348" eb="349">
      <t>ダイ</t>
    </rPh>
    <rPh sb="351" eb="352">
      <t>ゴウ</t>
    </rPh>
    <phoneticPr fontId="21"/>
  </si>
  <si>
    <t>登録免許税</t>
    <rPh sb="0" eb="1">
      <t>ノボル</t>
    </rPh>
    <rPh sb="1" eb="2">
      <t>ロク</t>
    </rPh>
    <rPh sb="2" eb="5">
      <t>メンキョゼイ</t>
    </rPh>
    <phoneticPr fontId="21"/>
  </si>
  <si>
    <t>7.1.17～12.3.31の
取得
⇒～14.3.31
⇒～17.3.31</t>
    <rPh sb="16" eb="18">
      <t>シュトク</t>
    </rPh>
    <phoneticPr fontId="21"/>
  </si>
  <si>
    <t xml:space="preserve">
平12延長
平14延長</t>
    <rPh sb="4" eb="5">
      <t>ヘイ</t>
    </rPh>
    <rPh sb="7" eb="9">
      <t>エンチョウ</t>
    </rPh>
    <rPh sb="10" eb="11">
      <t>ヘイ</t>
    </rPh>
    <rPh sb="13" eb="15">
      <t>エンチョウ</t>
    </rPh>
    <phoneticPr fontId="21"/>
  </si>
  <si>
    <t>①5,000万円の特別控除等･･･一定の被災市街地復興土地区画整理事業・特定住宅被災市町村の区域内の第2種市街地再開発事業の施行区域内の土地等が地方公共団体，住宅・都市整備公団等に買い取られる場合
②2,000万円の特別控除･･･住宅被災市町村の区域内の土地等が，地方公共団体，住宅・都市整備公団等に買い取られる場合
③1,500万円の特別控除･･･特定被災市街地復興推進地域内にある土地等が被災市街地復興特別措置法の買取りの申出により都道府県等に買い取られる場合等</t>
    <rPh sb="6" eb="8">
      <t>マンエン</t>
    </rPh>
    <rPh sb="9" eb="11">
      <t>トクベツ</t>
    </rPh>
    <rPh sb="11" eb="13">
      <t>コウジョ</t>
    </rPh>
    <rPh sb="13" eb="14">
      <t>トウ</t>
    </rPh>
    <rPh sb="17" eb="19">
      <t>イッテイ</t>
    </rPh>
    <rPh sb="20" eb="22">
      <t>ヒサイ</t>
    </rPh>
    <rPh sb="22" eb="25">
      <t>シガイチ</t>
    </rPh>
    <rPh sb="25" eb="27">
      <t>フッコウ</t>
    </rPh>
    <rPh sb="27" eb="29">
      <t>トチ</t>
    </rPh>
    <rPh sb="29" eb="31">
      <t>クカク</t>
    </rPh>
    <rPh sb="31" eb="33">
      <t>セイリ</t>
    </rPh>
    <rPh sb="36" eb="38">
      <t>トクテイ</t>
    </rPh>
    <rPh sb="38" eb="40">
      <t>ジュウタク</t>
    </rPh>
    <rPh sb="40" eb="42">
      <t>ヒサイ</t>
    </rPh>
    <rPh sb="42" eb="44">
      <t>シチョウ</t>
    </rPh>
    <rPh sb="44" eb="45">
      <t>ソン</t>
    </rPh>
    <rPh sb="46" eb="48">
      <t>クイキ</t>
    </rPh>
    <rPh sb="48" eb="49">
      <t>ナイ</t>
    </rPh>
    <rPh sb="50" eb="51">
      <t>ダイ</t>
    </rPh>
    <rPh sb="52" eb="53">
      <t>シュ</t>
    </rPh>
    <rPh sb="53" eb="56">
      <t>シガイチ</t>
    </rPh>
    <rPh sb="56" eb="59">
      <t>サイカイハツ</t>
    </rPh>
    <rPh sb="59" eb="61">
      <t>ジギョウ</t>
    </rPh>
    <rPh sb="64" eb="66">
      <t>クイキ</t>
    </rPh>
    <rPh sb="66" eb="67">
      <t>ナイ</t>
    </rPh>
    <rPh sb="68" eb="70">
      <t>トチ</t>
    </rPh>
    <rPh sb="70" eb="71">
      <t>トウ</t>
    </rPh>
    <rPh sb="72" eb="74">
      <t>チホウ</t>
    </rPh>
    <rPh sb="74" eb="76">
      <t>コウキョウ</t>
    </rPh>
    <rPh sb="76" eb="78">
      <t>ダンタイ</t>
    </rPh>
    <rPh sb="79" eb="81">
      <t>ジュウタク</t>
    </rPh>
    <rPh sb="82" eb="84">
      <t>トシ</t>
    </rPh>
    <rPh sb="84" eb="86">
      <t>セイビ</t>
    </rPh>
    <rPh sb="86" eb="88">
      <t>コウダン</t>
    </rPh>
    <rPh sb="88" eb="89">
      <t>トウ</t>
    </rPh>
    <rPh sb="90" eb="91">
      <t>カ</t>
    </rPh>
    <rPh sb="92" eb="93">
      <t>ト</t>
    </rPh>
    <rPh sb="96" eb="98">
      <t>バアイ</t>
    </rPh>
    <rPh sb="105" eb="107">
      <t>マンエン</t>
    </rPh>
    <rPh sb="108" eb="110">
      <t>トクベツ</t>
    </rPh>
    <rPh sb="110" eb="112">
      <t>コウジョ</t>
    </rPh>
    <rPh sb="115" eb="117">
      <t>ジュウタク</t>
    </rPh>
    <rPh sb="117" eb="119">
      <t>ヒサイ</t>
    </rPh>
    <rPh sb="119" eb="121">
      <t>シチョウ</t>
    </rPh>
    <rPh sb="121" eb="122">
      <t>ソン</t>
    </rPh>
    <rPh sb="123" eb="125">
      <t>クイキ</t>
    </rPh>
    <rPh sb="125" eb="126">
      <t>ナイ</t>
    </rPh>
    <rPh sb="127" eb="129">
      <t>トチ</t>
    </rPh>
    <rPh sb="129" eb="130">
      <t>トウ</t>
    </rPh>
    <rPh sb="134" eb="136">
      <t>コウキョウ</t>
    </rPh>
    <rPh sb="136" eb="138">
      <t>ダンタイ</t>
    </rPh>
    <rPh sb="139" eb="141">
      <t>ジュウタク</t>
    </rPh>
    <rPh sb="142" eb="144">
      <t>トシ</t>
    </rPh>
    <rPh sb="144" eb="146">
      <t>セイビ</t>
    </rPh>
    <rPh sb="146" eb="148">
      <t>コウダン</t>
    </rPh>
    <rPh sb="148" eb="149">
      <t>トウ</t>
    </rPh>
    <rPh sb="150" eb="151">
      <t>カ</t>
    </rPh>
    <rPh sb="152" eb="153">
      <t>ト</t>
    </rPh>
    <rPh sb="156" eb="158">
      <t>バアイ</t>
    </rPh>
    <rPh sb="165" eb="167">
      <t>マンエン</t>
    </rPh>
    <rPh sb="168" eb="170">
      <t>トクベツ</t>
    </rPh>
    <rPh sb="170" eb="172">
      <t>コウジョ</t>
    </rPh>
    <rPh sb="175" eb="177">
      <t>トクテイ</t>
    </rPh>
    <rPh sb="177" eb="179">
      <t>ヒサイ</t>
    </rPh>
    <rPh sb="179" eb="182">
      <t>シガイチ</t>
    </rPh>
    <rPh sb="182" eb="184">
      <t>フッコウ</t>
    </rPh>
    <rPh sb="184" eb="186">
      <t>スイシン</t>
    </rPh>
    <rPh sb="186" eb="188">
      <t>チイキ</t>
    </rPh>
    <rPh sb="188" eb="189">
      <t>ナイ</t>
    </rPh>
    <rPh sb="194" eb="195">
      <t>トウ</t>
    </rPh>
    <rPh sb="196" eb="198">
      <t>ヒサイ</t>
    </rPh>
    <rPh sb="198" eb="201">
      <t>シガイチ</t>
    </rPh>
    <rPh sb="201" eb="203">
      <t>フッコウ</t>
    </rPh>
    <rPh sb="203" eb="205">
      <t>トクベツ</t>
    </rPh>
    <rPh sb="205" eb="208">
      <t>ソチホウ</t>
    </rPh>
    <rPh sb="209" eb="211">
      <t>カイト</t>
    </rPh>
    <rPh sb="213" eb="215">
      <t>モウシデ</t>
    </rPh>
    <rPh sb="218" eb="222">
      <t>トドウフケン</t>
    </rPh>
    <rPh sb="222" eb="223">
      <t>トウ</t>
    </rPh>
    <rPh sb="224" eb="225">
      <t>カ</t>
    </rPh>
    <rPh sb="226" eb="227">
      <t>ト</t>
    </rPh>
    <rPh sb="230" eb="232">
      <t>バアイ</t>
    </rPh>
    <rPh sb="232" eb="233">
      <t>トウ</t>
    </rPh>
    <phoneticPr fontId="21"/>
  </si>
  <si>
    <t>次の事業等資産の買換えについて，圧縮記帳による課税の繰り延べが認められる。
・被災区域である土地等を譲渡し，国内にある土地，建物その他の減価償却資産を取得する場合･･･100％
・被災区域外の区域にある土地等を譲渡し，被災区域である土地等・減価償却資産を取得する場合･･･原則100％(一部80％)</t>
    <rPh sb="0" eb="1">
      <t>ツギ</t>
    </rPh>
    <rPh sb="2" eb="4">
      <t>ジギョウ</t>
    </rPh>
    <rPh sb="4" eb="5">
      <t>トウ</t>
    </rPh>
    <rPh sb="5" eb="7">
      <t>シサン</t>
    </rPh>
    <rPh sb="8" eb="10">
      <t>カイカ</t>
    </rPh>
    <rPh sb="16" eb="18">
      <t>アッシュク</t>
    </rPh>
    <rPh sb="18" eb="20">
      <t>キチョウ</t>
    </rPh>
    <rPh sb="23" eb="24">
      <t>カ</t>
    </rPh>
    <rPh sb="24" eb="25">
      <t>ゼイ</t>
    </rPh>
    <rPh sb="26" eb="27">
      <t>ク</t>
    </rPh>
    <rPh sb="28" eb="29">
      <t>ノ</t>
    </rPh>
    <rPh sb="31" eb="32">
      <t>ミト</t>
    </rPh>
    <rPh sb="39" eb="41">
      <t>ヒサイ</t>
    </rPh>
    <rPh sb="41" eb="43">
      <t>クイキ</t>
    </rPh>
    <rPh sb="46" eb="48">
      <t>トチ</t>
    </rPh>
    <rPh sb="48" eb="49">
      <t>トウ</t>
    </rPh>
    <rPh sb="50" eb="52">
      <t>ジョウト</t>
    </rPh>
    <rPh sb="54" eb="56">
      <t>コクナイ</t>
    </rPh>
    <rPh sb="59" eb="61">
      <t>トチ</t>
    </rPh>
    <rPh sb="62" eb="64">
      <t>タテモノ</t>
    </rPh>
    <rPh sb="66" eb="67">
      <t>タ</t>
    </rPh>
    <rPh sb="68" eb="70">
      <t>ゲンカ</t>
    </rPh>
    <rPh sb="70" eb="72">
      <t>ショウキャク</t>
    </rPh>
    <rPh sb="72" eb="74">
      <t>シサン</t>
    </rPh>
    <rPh sb="75" eb="77">
      <t>シュトク</t>
    </rPh>
    <rPh sb="79" eb="81">
      <t>バアイ</t>
    </rPh>
    <rPh sb="90" eb="92">
      <t>ヒサイ</t>
    </rPh>
    <rPh sb="92" eb="95">
      <t>クイキガイ</t>
    </rPh>
    <rPh sb="96" eb="98">
      <t>クイキ</t>
    </rPh>
    <rPh sb="101" eb="103">
      <t>トチ</t>
    </rPh>
    <rPh sb="103" eb="104">
      <t>トウ</t>
    </rPh>
    <rPh sb="105" eb="107">
      <t>ジョウト</t>
    </rPh>
    <rPh sb="109" eb="111">
      <t>ヒサイ</t>
    </rPh>
    <rPh sb="111" eb="113">
      <t>クイキ</t>
    </rPh>
    <rPh sb="116" eb="118">
      <t>トチ</t>
    </rPh>
    <rPh sb="118" eb="119">
      <t>トウ</t>
    </rPh>
    <rPh sb="120" eb="122">
      <t>ゲンカ</t>
    </rPh>
    <rPh sb="122" eb="124">
      <t>ショウキャク</t>
    </rPh>
    <rPh sb="124" eb="126">
      <t>シサン</t>
    </rPh>
    <rPh sb="127" eb="129">
      <t>シュトク</t>
    </rPh>
    <rPh sb="131" eb="133">
      <t>バアイ</t>
    </rPh>
    <rPh sb="136" eb="138">
      <t>ゲンソク</t>
    </rPh>
    <rPh sb="143" eb="145">
      <t>イチブ</t>
    </rPh>
    <phoneticPr fontId="21"/>
  </si>
  <si>
    <t>次のものも特定寄附金（寄附金控除の対象）又は指定寄附金（全額損金算入の対象となるもの）となる。
①　学校法人，社会福祉法人等の公益法人等が設置する公益の用に供される建物等で大震災により滅失・損壊したものの復旧のため一定の要件の下にその公益法人等が募集する寄附金（主務官庁が適正と認めたもの）
②　大震災による被災者の救済活動の支援のため，全国社会福祉協議会が募集する寄附金</t>
    <rPh sb="0" eb="1">
      <t>ツギ</t>
    </rPh>
    <rPh sb="5" eb="7">
      <t>トクテイ</t>
    </rPh>
    <rPh sb="7" eb="10">
      <t>キフキン</t>
    </rPh>
    <rPh sb="11" eb="14">
      <t>キフキン</t>
    </rPh>
    <rPh sb="14" eb="16">
      <t>コウジョ</t>
    </rPh>
    <rPh sb="17" eb="19">
      <t>タイショウ</t>
    </rPh>
    <rPh sb="20" eb="21">
      <t>マタ</t>
    </rPh>
    <rPh sb="22" eb="24">
      <t>シテイ</t>
    </rPh>
    <rPh sb="24" eb="27">
      <t>キフキン</t>
    </rPh>
    <rPh sb="28" eb="30">
      <t>ゼンガク</t>
    </rPh>
    <rPh sb="30" eb="32">
      <t>ソンキン</t>
    </rPh>
    <rPh sb="32" eb="34">
      <t>サンニュウ</t>
    </rPh>
    <rPh sb="35" eb="37">
      <t>タイショウ</t>
    </rPh>
    <rPh sb="50" eb="52">
      <t>ガッコウ</t>
    </rPh>
    <rPh sb="52" eb="54">
      <t>ホウジン</t>
    </rPh>
    <rPh sb="55" eb="57">
      <t>シャカイ</t>
    </rPh>
    <rPh sb="57" eb="59">
      <t>フクシ</t>
    </rPh>
    <rPh sb="59" eb="61">
      <t>ホウジン</t>
    </rPh>
    <rPh sb="61" eb="62">
      <t>トウ</t>
    </rPh>
    <rPh sb="63" eb="65">
      <t>コウエキ</t>
    </rPh>
    <rPh sb="65" eb="67">
      <t>ホウジン</t>
    </rPh>
    <rPh sb="67" eb="68">
      <t>トウ</t>
    </rPh>
    <rPh sb="69" eb="71">
      <t>セッチ</t>
    </rPh>
    <rPh sb="73" eb="75">
      <t>コウエキ</t>
    </rPh>
    <rPh sb="76" eb="77">
      <t>ヨウ</t>
    </rPh>
    <rPh sb="78" eb="79">
      <t>キョウ</t>
    </rPh>
    <rPh sb="82" eb="84">
      <t>タテモノ</t>
    </rPh>
    <rPh sb="84" eb="85">
      <t>トウ</t>
    </rPh>
    <rPh sb="86" eb="89">
      <t>ダイシンサイ</t>
    </rPh>
    <rPh sb="92" eb="94">
      <t>メッシツ</t>
    </rPh>
    <rPh sb="95" eb="97">
      <t>ソンカイ</t>
    </rPh>
    <rPh sb="102" eb="104">
      <t>フッキュウ</t>
    </rPh>
    <rPh sb="107" eb="109">
      <t>イッテイ</t>
    </rPh>
    <rPh sb="110" eb="112">
      <t>ヨウケン</t>
    </rPh>
    <rPh sb="113" eb="114">
      <t>モト</t>
    </rPh>
    <rPh sb="117" eb="119">
      <t>コウエキ</t>
    </rPh>
    <rPh sb="119" eb="121">
      <t>ホウジン</t>
    </rPh>
    <rPh sb="121" eb="122">
      <t>トウ</t>
    </rPh>
    <rPh sb="123" eb="125">
      <t>ボシュウ</t>
    </rPh>
    <rPh sb="127" eb="130">
      <t>キフキン</t>
    </rPh>
    <rPh sb="131" eb="133">
      <t>シュム</t>
    </rPh>
    <rPh sb="133" eb="135">
      <t>カンチョウ</t>
    </rPh>
    <rPh sb="136" eb="138">
      <t>テキセイ</t>
    </rPh>
    <rPh sb="139" eb="140">
      <t>ミト</t>
    </rPh>
    <rPh sb="148" eb="151">
      <t>ダイシンサイ</t>
    </rPh>
    <rPh sb="154" eb="156">
      <t>ヒサイ</t>
    </rPh>
    <rPh sb="156" eb="157">
      <t>シャ</t>
    </rPh>
    <rPh sb="158" eb="160">
      <t>キュウサイ</t>
    </rPh>
    <rPh sb="160" eb="162">
      <t>カツドウ</t>
    </rPh>
    <rPh sb="163" eb="165">
      <t>シエン</t>
    </rPh>
    <rPh sb="169" eb="171">
      <t>ゼンコク</t>
    </rPh>
    <rPh sb="171" eb="173">
      <t>シャカイ</t>
    </rPh>
    <rPh sb="173" eb="175">
      <t>フクシ</t>
    </rPh>
    <rPh sb="179" eb="181">
      <t>ボシュウ</t>
    </rPh>
    <rPh sb="183" eb="186">
      <t>キフキン</t>
    </rPh>
    <phoneticPr fontId="21"/>
  </si>
  <si>
    <t>①　被災日前の相続・贈与により取得した特定土地等・特定株式等で被災日に有していたものがあり，かつ，被災日以降に申告期限が到来する者については，特定土地等・特定株式等の価額は大震災発生直後の価額によることができる。
②　①の適用のある者の申告期限は，7.10.31まで延長。</t>
    <rPh sb="2" eb="4">
      <t>ヒサイ</t>
    </rPh>
    <rPh sb="4" eb="5">
      <t>ビ</t>
    </rPh>
    <rPh sb="5" eb="6">
      <t>マエ</t>
    </rPh>
    <rPh sb="7" eb="9">
      <t>ソウゾク</t>
    </rPh>
    <rPh sb="10" eb="12">
      <t>ゾウヨ</t>
    </rPh>
    <rPh sb="15" eb="17">
      <t>シュトク</t>
    </rPh>
    <rPh sb="19" eb="21">
      <t>トクテイ</t>
    </rPh>
    <rPh sb="21" eb="23">
      <t>トチ</t>
    </rPh>
    <rPh sb="23" eb="24">
      <t>トウ</t>
    </rPh>
    <rPh sb="25" eb="27">
      <t>トクテイ</t>
    </rPh>
    <rPh sb="27" eb="29">
      <t>カブシキ</t>
    </rPh>
    <rPh sb="29" eb="30">
      <t>トウ</t>
    </rPh>
    <rPh sb="31" eb="33">
      <t>ヒサイ</t>
    </rPh>
    <rPh sb="33" eb="34">
      <t>ビ</t>
    </rPh>
    <rPh sb="35" eb="36">
      <t>ユウ</t>
    </rPh>
    <rPh sb="49" eb="51">
      <t>ヒサイ</t>
    </rPh>
    <rPh sb="51" eb="52">
      <t>ビ</t>
    </rPh>
    <rPh sb="52" eb="54">
      <t>イコウ</t>
    </rPh>
    <rPh sb="55" eb="57">
      <t>シンコク</t>
    </rPh>
    <rPh sb="57" eb="59">
      <t>キゲン</t>
    </rPh>
    <rPh sb="60" eb="62">
      <t>トウライ</t>
    </rPh>
    <rPh sb="64" eb="65">
      <t>モノ</t>
    </rPh>
    <rPh sb="71" eb="73">
      <t>トクテイ</t>
    </rPh>
    <rPh sb="73" eb="75">
      <t>トチ</t>
    </rPh>
    <rPh sb="75" eb="76">
      <t>トウ</t>
    </rPh>
    <rPh sb="77" eb="79">
      <t>トクテイ</t>
    </rPh>
    <rPh sb="79" eb="81">
      <t>カブシキ</t>
    </rPh>
    <rPh sb="81" eb="82">
      <t>トウ</t>
    </rPh>
    <rPh sb="83" eb="85">
      <t>カガク</t>
    </rPh>
    <rPh sb="89" eb="91">
      <t>ハッセイ</t>
    </rPh>
    <rPh sb="91" eb="93">
      <t>チョクゴ</t>
    </rPh>
    <rPh sb="94" eb="96">
      <t>カガク</t>
    </rPh>
    <rPh sb="111" eb="113">
      <t>テキヨウ</t>
    </rPh>
    <rPh sb="116" eb="117">
      <t>モノ</t>
    </rPh>
    <rPh sb="118" eb="120">
      <t>シンコク</t>
    </rPh>
    <rPh sb="120" eb="122">
      <t>キゲン</t>
    </rPh>
    <rPh sb="133" eb="135">
      <t>エンチョウ</t>
    </rPh>
    <phoneticPr fontId="21"/>
  </si>
  <si>
    <t>水道，電気，ガス等の一定のものの供給が1か月間断たれた土地等･･･2分の1免除</t>
    <rPh sb="0" eb="2">
      <t>スイドウ</t>
    </rPh>
    <rPh sb="3" eb="5">
      <t>デンキ</t>
    </rPh>
    <rPh sb="8" eb="9">
      <t>ナド</t>
    </rPh>
    <rPh sb="10" eb="12">
      <t>イッテイ</t>
    </rPh>
    <rPh sb="16" eb="18">
      <t>キョウキュウ</t>
    </rPh>
    <rPh sb="21" eb="23">
      <t>ゲツカン</t>
    </rPh>
    <rPh sb="23" eb="24">
      <t>タ</t>
    </rPh>
    <rPh sb="27" eb="30">
      <t>トチナド</t>
    </rPh>
    <rPh sb="33" eb="35">
      <t>ニプン</t>
    </rPh>
    <rPh sb="37" eb="39">
      <t>メンジョ</t>
    </rPh>
    <phoneticPr fontId="21"/>
  </si>
  <si>
    <t>※納期限は
平成7年3月31日</t>
    <rPh sb="1" eb="4">
      <t>ノウキゲン</t>
    </rPh>
    <rPh sb="6" eb="8">
      <t>ヘイセイ</t>
    </rPh>
    <rPh sb="9" eb="10">
      <t>ネン</t>
    </rPh>
    <rPh sb="11" eb="12">
      <t>ガツ</t>
    </rPh>
    <rPh sb="14" eb="15">
      <t>ニチ</t>
    </rPh>
    <phoneticPr fontId="21"/>
  </si>
  <si>
    <t>本来，平成8年度課税分（平成7年中の所得）について適用
⇒　納税者の選択により平成7年度課税分（平成6年中の所得）について適用できる。</t>
    <rPh sb="0" eb="2">
      <t>ホンライ</t>
    </rPh>
    <rPh sb="3" eb="5">
      <t>ヘイセイ</t>
    </rPh>
    <rPh sb="6" eb="8">
      <t>ネンド</t>
    </rPh>
    <rPh sb="8" eb="9">
      <t>カ</t>
    </rPh>
    <rPh sb="9" eb="10">
      <t>ゼイ</t>
    </rPh>
    <rPh sb="10" eb="11">
      <t>ブン</t>
    </rPh>
    <rPh sb="12" eb="14">
      <t>ヘイセイ</t>
    </rPh>
    <rPh sb="15" eb="16">
      <t>ネン</t>
    </rPh>
    <rPh sb="16" eb="17">
      <t>チュウ</t>
    </rPh>
    <rPh sb="18" eb="20">
      <t>ショトク</t>
    </rPh>
    <rPh sb="25" eb="27">
      <t>テキヨウ</t>
    </rPh>
    <rPh sb="30" eb="33">
      <t>ノウゼイシャ</t>
    </rPh>
    <rPh sb="34" eb="36">
      <t>センタク</t>
    </rPh>
    <rPh sb="39" eb="41">
      <t>ヘイセイ</t>
    </rPh>
    <rPh sb="42" eb="44">
      <t>ネンド</t>
    </rPh>
    <rPh sb="44" eb="45">
      <t>カ</t>
    </rPh>
    <rPh sb="45" eb="46">
      <t>ゼイ</t>
    </rPh>
    <rPh sb="46" eb="47">
      <t>ブン</t>
    </rPh>
    <rPh sb="48" eb="50">
      <t>ヘイセイ</t>
    </rPh>
    <rPh sb="51" eb="52">
      <t>ネン</t>
    </rPh>
    <rPh sb="52" eb="53">
      <t>チュウ</t>
    </rPh>
    <rPh sb="54" eb="56">
      <t>ショトク</t>
    </rPh>
    <rPh sb="61" eb="63">
      <t>テキヨウ</t>
    </rPh>
    <phoneticPr fontId="21"/>
  </si>
  <si>
    <t>○土地：埋没，流失等の被害を受けた土地･･･損害の程度に応じて1／5減額から免除
○家屋：2割以上の損害を受けた家屋･･･損害の程度に応じて1／2減額から免除
○償却資産：1作業部門又は1棟ごとに2割以上の損害を受けた場合の償却資産･･･損害割合を減額</t>
    <rPh sb="1" eb="3">
      <t>トチ</t>
    </rPh>
    <rPh sb="4" eb="6">
      <t>マイボツ</t>
    </rPh>
    <rPh sb="7" eb="9">
      <t>リュウシツ</t>
    </rPh>
    <rPh sb="9" eb="10">
      <t>トウ</t>
    </rPh>
    <rPh sb="11" eb="13">
      <t>ヒガイ</t>
    </rPh>
    <rPh sb="14" eb="15">
      <t>ウ</t>
    </rPh>
    <rPh sb="17" eb="19">
      <t>トチ</t>
    </rPh>
    <rPh sb="22" eb="24">
      <t>ソンガイ</t>
    </rPh>
    <rPh sb="25" eb="27">
      <t>テイド</t>
    </rPh>
    <rPh sb="28" eb="29">
      <t>オウ</t>
    </rPh>
    <rPh sb="34" eb="35">
      <t>ゲン</t>
    </rPh>
    <rPh sb="35" eb="36">
      <t>ガク</t>
    </rPh>
    <rPh sb="38" eb="40">
      <t>メンジョ</t>
    </rPh>
    <rPh sb="42" eb="44">
      <t>カオク</t>
    </rPh>
    <rPh sb="46" eb="49">
      <t>ワリイジョウ</t>
    </rPh>
    <rPh sb="50" eb="52">
      <t>ソンガイ</t>
    </rPh>
    <rPh sb="53" eb="54">
      <t>ウ</t>
    </rPh>
    <rPh sb="56" eb="58">
      <t>カオク</t>
    </rPh>
    <rPh sb="61" eb="63">
      <t>ソンガイ</t>
    </rPh>
    <rPh sb="64" eb="66">
      <t>テイド</t>
    </rPh>
    <rPh sb="67" eb="68">
      <t>オウ</t>
    </rPh>
    <rPh sb="73" eb="74">
      <t>ゲン</t>
    </rPh>
    <rPh sb="74" eb="75">
      <t>ガク</t>
    </rPh>
    <rPh sb="77" eb="79">
      <t>メンジョ</t>
    </rPh>
    <rPh sb="81" eb="83">
      <t>ショウキャク</t>
    </rPh>
    <rPh sb="83" eb="85">
      <t>シサン</t>
    </rPh>
    <rPh sb="87" eb="89">
      <t>サギョウ</t>
    </rPh>
    <rPh sb="89" eb="91">
      <t>ブモン</t>
    </rPh>
    <rPh sb="91" eb="92">
      <t>マタ</t>
    </rPh>
    <rPh sb="94" eb="95">
      <t>トウ</t>
    </rPh>
    <rPh sb="99" eb="102">
      <t>ワリイジョウ</t>
    </rPh>
    <rPh sb="103" eb="105">
      <t>ソンガイ</t>
    </rPh>
    <rPh sb="106" eb="107">
      <t>ウ</t>
    </rPh>
    <rPh sb="109" eb="111">
      <t>バアイ</t>
    </rPh>
    <rPh sb="112" eb="114">
      <t>ショウキャク</t>
    </rPh>
    <rPh sb="114" eb="116">
      <t>シサン</t>
    </rPh>
    <rPh sb="119" eb="121">
      <t>ソンガイ</t>
    </rPh>
    <rPh sb="121" eb="123">
      <t>ワリアイ</t>
    </rPh>
    <rPh sb="124" eb="125">
      <t>ゲン</t>
    </rPh>
    <rPh sb="125" eb="126">
      <t>ガク</t>
    </rPh>
    <phoneticPr fontId="21"/>
  </si>
  <si>
    <t>○土地　震災によって利用に著しい制約を生じた旧市街地の宅地･･･利用の制約の程度に応じて5％・10％・15％軽減
○家屋　損害の程度が2割未満の家屋について1／10軽減</t>
    <rPh sb="1" eb="3">
      <t>トチ</t>
    </rPh>
    <rPh sb="4" eb="6">
      <t>シンサイ</t>
    </rPh>
    <rPh sb="10" eb="12">
      <t>リヨウ</t>
    </rPh>
    <rPh sb="13" eb="14">
      <t>イチジル</t>
    </rPh>
    <rPh sb="16" eb="18">
      <t>セイヤク</t>
    </rPh>
    <rPh sb="19" eb="20">
      <t>ショウ</t>
    </rPh>
    <rPh sb="22" eb="26">
      <t>キュウシガイチ</t>
    </rPh>
    <rPh sb="27" eb="29">
      <t>タクチ</t>
    </rPh>
    <rPh sb="32" eb="34">
      <t>リヨウ</t>
    </rPh>
    <rPh sb="35" eb="37">
      <t>セイヤク</t>
    </rPh>
    <rPh sb="38" eb="40">
      <t>テイド</t>
    </rPh>
    <rPh sb="41" eb="42">
      <t>オウ</t>
    </rPh>
    <rPh sb="54" eb="56">
      <t>ケイゲン</t>
    </rPh>
    <rPh sb="58" eb="60">
      <t>カオク</t>
    </rPh>
    <rPh sb="61" eb="63">
      <t>ソンガイ</t>
    </rPh>
    <rPh sb="64" eb="66">
      <t>テイド</t>
    </rPh>
    <rPh sb="68" eb="69">
      <t>ワリ</t>
    </rPh>
    <rPh sb="69" eb="71">
      <t>ミマン</t>
    </rPh>
    <rPh sb="72" eb="74">
      <t>カオク</t>
    </rPh>
    <rPh sb="82" eb="84">
      <t>ケイゲン</t>
    </rPh>
    <phoneticPr fontId="21"/>
  </si>
  <si>
    <t>（付表）阪神・淡路大震災に係る税制措置に関する主な地域指定等の比較</t>
    <rPh sb="1" eb="3">
      <t>フヒョウ</t>
    </rPh>
    <rPh sb="4" eb="6">
      <t>ハンシン</t>
    </rPh>
    <rPh sb="7" eb="9">
      <t>アワジ</t>
    </rPh>
    <rPh sb="9" eb="10">
      <t>ダイ</t>
    </rPh>
    <rPh sb="10" eb="12">
      <t>シンサイ</t>
    </rPh>
    <rPh sb="13" eb="14">
      <t>カカ</t>
    </rPh>
    <rPh sb="15" eb="17">
      <t>ゼイセイ</t>
    </rPh>
    <rPh sb="17" eb="19">
      <t>ソチ</t>
    </rPh>
    <rPh sb="20" eb="21">
      <t>カン</t>
    </rPh>
    <rPh sb="23" eb="24">
      <t>オモ</t>
    </rPh>
    <rPh sb="25" eb="27">
      <t>チイキ</t>
    </rPh>
    <rPh sb="27" eb="29">
      <t>シテイ</t>
    </rPh>
    <rPh sb="29" eb="30">
      <t>トウ</t>
    </rPh>
    <rPh sb="31" eb="33">
      <t>ヒカク</t>
    </rPh>
    <phoneticPr fontId="1"/>
  </si>
  <si>
    <t>災害関連法の区分</t>
    <rPh sb="0" eb="2">
      <t>サイガイ</t>
    </rPh>
    <rPh sb="2" eb="5">
      <t>カンレンホウ</t>
    </rPh>
    <rPh sb="6" eb="8">
      <t>クブン</t>
    </rPh>
    <phoneticPr fontId="21"/>
  </si>
  <si>
    <t>適用地域</t>
    <rPh sb="0" eb="2">
      <t>テキヨウ</t>
    </rPh>
    <rPh sb="2" eb="4">
      <t>チイキ</t>
    </rPh>
    <phoneticPr fontId="21"/>
  </si>
  <si>
    <t>関連する震災特例税制</t>
    <rPh sb="0" eb="2">
      <t>カンレン</t>
    </rPh>
    <rPh sb="4" eb="6">
      <t>シンサイ</t>
    </rPh>
    <rPh sb="6" eb="8">
      <t>トクレイ</t>
    </rPh>
    <rPh sb="8" eb="10">
      <t>ゼイセイ</t>
    </rPh>
    <phoneticPr fontId="21"/>
  </si>
  <si>
    <t>①　災害救助法が適用された市町</t>
    <rPh sb="2" eb="4">
      <t>サイガイ</t>
    </rPh>
    <rPh sb="4" eb="7">
      <t>キュウジョホウ</t>
    </rPh>
    <rPh sb="8" eb="10">
      <t>テキヨウ</t>
    </rPh>
    <rPh sb="13" eb="15">
      <t>シチョウ</t>
    </rPh>
    <phoneticPr fontId="21"/>
  </si>
  <si>
    <t>兵庫県の次の10市10町
　神戸市，尼崎市，明石市，西宮市，芦屋市，伊丹市，宝塚市，
　川西市，三木市，洲本市，津名郡の全6町（津名町，北淡町，
　一宮町，五色町，東浦町及び淡路町）並びに三原郡の全4町
　（西淡町，三原町，緑町及び南淡町）
大阪府の次の5市
　豊中市，大阪市，池田市，吹田市及び箕面市</t>
    <phoneticPr fontId="21"/>
  </si>
  <si>
    <t>・所有権の保存登記等の免税の特例
（法37）</t>
    <rPh sb="1" eb="4">
      <t>ショユウケン</t>
    </rPh>
    <rPh sb="5" eb="7">
      <t>ホゾン</t>
    </rPh>
    <rPh sb="7" eb="10">
      <t>トウキナド</t>
    </rPh>
    <rPh sb="11" eb="13">
      <t>メンゼイ</t>
    </rPh>
    <rPh sb="14" eb="16">
      <t>トクレイ</t>
    </rPh>
    <rPh sb="18" eb="19">
      <t>ホウ</t>
    </rPh>
    <phoneticPr fontId="21"/>
  </si>
  <si>
    <t>②　申告，納付等の期限等の延長
　措置の適用対象となる地域
　　平7.1.25国税庁告示第1号
　　（国税通則法）
　　平7.2.20大蔵省告示第29号
　　（関税関係）</t>
    <rPh sb="2" eb="4">
      <t>シンコク</t>
    </rPh>
    <rPh sb="5" eb="8">
      <t>ノウフナド</t>
    </rPh>
    <rPh sb="9" eb="11">
      <t>キゲン</t>
    </rPh>
    <rPh sb="11" eb="12">
      <t>トウ</t>
    </rPh>
    <rPh sb="13" eb="15">
      <t>エンチョウ</t>
    </rPh>
    <rPh sb="17" eb="19">
      <t>ソチ</t>
    </rPh>
    <rPh sb="20" eb="22">
      <t>テキヨウ</t>
    </rPh>
    <rPh sb="22" eb="24">
      <t>タイショウ</t>
    </rPh>
    <rPh sb="27" eb="29">
      <t>チイキ</t>
    </rPh>
    <rPh sb="32" eb="33">
      <t>ヒラ</t>
    </rPh>
    <rPh sb="39" eb="41">
      <t>コクゼイ</t>
    </rPh>
    <rPh sb="41" eb="42">
      <t>チョウ</t>
    </rPh>
    <rPh sb="42" eb="44">
      <t>コクジ</t>
    </rPh>
    <rPh sb="44" eb="45">
      <t>ダイ</t>
    </rPh>
    <rPh sb="46" eb="47">
      <t>ゴウ</t>
    </rPh>
    <rPh sb="51" eb="53">
      <t>コクゼイ</t>
    </rPh>
    <rPh sb="53" eb="55">
      <t>ツウソク</t>
    </rPh>
    <rPh sb="55" eb="56">
      <t>ホウ</t>
    </rPh>
    <rPh sb="60" eb="61">
      <t>ヒラ</t>
    </rPh>
    <rPh sb="67" eb="70">
      <t>オオクラショウ</t>
    </rPh>
    <rPh sb="70" eb="72">
      <t>コクジ</t>
    </rPh>
    <rPh sb="72" eb="73">
      <t>ダイ</t>
    </rPh>
    <rPh sb="73" eb="76">
      <t>ニ９ゴウ</t>
    </rPh>
    <rPh sb="80" eb="82">
      <t>カンゼイ</t>
    </rPh>
    <rPh sb="82" eb="84">
      <t>カンケイ</t>
    </rPh>
    <phoneticPr fontId="21"/>
  </si>
  <si>
    <t>兵庫県の次の10市7町
　神戸市，尼崎市，明石市，西宮市，芦屋市，伊丹市，宝塚市，
　川西市，三木市，洲本市，津名郡の全6町（津名町，北淡町，
　一宮町，五色町，東浦町及び淡路町）並びに三原郡西淡町
大阪府の豊中市</t>
    <phoneticPr fontId="21"/>
  </si>
  <si>
    <t>③　被災市街地復興特別措置法第
　5条第1項の規定により都市計画
　に定められた被災市街地復興推
　進地域〔各市町告示〕</t>
    <rPh sb="2" eb="4">
      <t>ヒサイ</t>
    </rPh>
    <rPh sb="4" eb="7">
      <t>シガイチ</t>
    </rPh>
    <rPh sb="7" eb="9">
      <t>フッコウ</t>
    </rPh>
    <rPh sb="9" eb="11">
      <t>トクベツ</t>
    </rPh>
    <rPh sb="11" eb="14">
      <t>ソチホウ</t>
    </rPh>
    <rPh sb="14" eb="15">
      <t>ダイ</t>
    </rPh>
    <rPh sb="18" eb="19">
      <t>ジョウ</t>
    </rPh>
    <rPh sb="19" eb="20">
      <t>ダイ</t>
    </rPh>
    <rPh sb="21" eb="22">
      <t>コウ</t>
    </rPh>
    <rPh sb="23" eb="25">
      <t>キテイ</t>
    </rPh>
    <rPh sb="28" eb="30">
      <t>トシ</t>
    </rPh>
    <rPh sb="30" eb="32">
      <t>ケイカク</t>
    </rPh>
    <rPh sb="35" eb="36">
      <t>サダ</t>
    </rPh>
    <rPh sb="40" eb="42">
      <t>ヒサイ</t>
    </rPh>
    <rPh sb="42" eb="45">
      <t>シガイチ</t>
    </rPh>
    <rPh sb="45" eb="47">
      <t>フッコウ</t>
    </rPh>
    <rPh sb="47" eb="48">
      <t>スイ</t>
    </rPh>
    <rPh sb="50" eb="51">
      <t>ススム</t>
    </rPh>
    <rPh sb="51" eb="53">
      <t>チイキ</t>
    </rPh>
    <rPh sb="54" eb="55">
      <t>カク</t>
    </rPh>
    <rPh sb="55" eb="57">
      <t>シチョウ</t>
    </rPh>
    <rPh sb="57" eb="59">
      <t>コクジ</t>
    </rPh>
    <phoneticPr fontId="21"/>
  </si>
  <si>
    <t>神戸市　森南，六甲道駅周辺，松本，御菅，新長田周辺，
　　　　湊川町1･2丁目及び神前町2丁目北の各地域
尼崎市　築地地域
芦屋市　芦屋西部及び芦屋中央の各地域
西宮市　森具及び西宮北口駅北東の各地域
宝塚市　仁川駅前地区，売布神社駅前地区及び花の道周辺地区
　　　　の各地域
津名郡北淡町　富島地域</t>
    <phoneticPr fontId="21"/>
  </si>
  <si>
    <t>④　被災市街地復興特別措置法第
　21条に規定する住宅被災市町村
　　平7.2.26付建設省住総発第
　　30号通達
　　平7.5.11付建設省住総発第
　　77号通達</t>
    <rPh sb="2" eb="4">
      <t>ヒサイ</t>
    </rPh>
    <rPh sb="4" eb="7">
      <t>シガイチ</t>
    </rPh>
    <rPh sb="7" eb="9">
      <t>フッコウ</t>
    </rPh>
    <rPh sb="9" eb="11">
      <t>トクベツ</t>
    </rPh>
    <rPh sb="11" eb="14">
      <t>ソチホウ</t>
    </rPh>
    <rPh sb="14" eb="15">
      <t>ダイ</t>
    </rPh>
    <rPh sb="17" eb="20">
      <t>ニ１ジョウ</t>
    </rPh>
    <rPh sb="21" eb="23">
      <t>キテイ</t>
    </rPh>
    <rPh sb="25" eb="27">
      <t>ジュウタク</t>
    </rPh>
    <rPh sb="27" eb="29">
      <t>ヒサイ</t>
    </rPh>
    <rPh sb="29" eb="31">
      <t>シチョウ</t>
    </rPh>
    <rPh sb="31" eb="32">
      <t>ソン</t>
    </rPh>
    <rPh sb="35" eb="36">
      <t>ヒラ</t>
    </rPh>
    <rPh sb="42" eb="43">
      <t>ヅケ</t>
    </rPh>
    <rPh sb="43" eb="46">
      <t>ケンセツショウ</t>
    </rPh>
    <rPh sb="46" eb="47">
      <t>ジュウ</t>
    </rPh>
    <rPh sb="47" eb="48">
      <t>ソウ</t>
    </rPh>
    <rPh sb="48" eb="49">
      <t>ハツ</t>
    </rPh>
    <rPh sb="49" eb="50">
      <t>ダイ</t>
    </rPh>
    <rPh sb="55" eb="56">
      <t>ゴウ</t>
    </rPh>
    <rPh sb="56" eb="58">
      <t>ツウタツ</t>
    </rPh>
    <rPh sb="61" eb="62">
      <t>ヘイ</t>
    </rPh>
    <rPh sb="68" eb="69">
      <t>フ</t>
    </rPh>
    <rPh sb="69" eb="72">
      <t>ケンセツショウ</t>
    </rPh>
    <rPh sb="72" eb="73">
      <t>ジュウ</t>
    </rPh>
    <rPh sb="73" eb="74">
      <t>ソウ</t>
    </rPh>
    <rPh sb="74" eb="75">
      <t>ハツ</t>
    </rPh>
    <rPh sb="75" eb="76">
      <t>ダイ</t>
    </rPh>
    <rPh sb="81" eb="82">
      <t>ゴウ</t>
    </rPh>
    <rPh sb="82" eb="84">
      <t>ツウタツ</t>
    </rPh>
    <phoneticPr fontId="21"/>
  </si>
  <si>
    <t>兵庫県の次の8市7町
　神戸市，尼崎市，明石市，西宮市，芦屋市，伊丹市，宝塚市，
　川西市，津名郡の全6町（津名町，北淡町，一宮町，五色町，
　東浦町及び淡路町）並びに三原郡西淡町
大阪府の豊中市及び大阪市
　激甚災害法による公営住宅建設の補助率の引上げの区域と
　同じである。</t>
    <rPh sb="98" eb="99">
      <t>オヨ</t>
    </rPh>
    <rPh sb="100" eb="103">
      <t>オオサカシ</t>
    </rPh>
    <rPh sb="105" eb="107">
      <t>ゲキジン</t>
    </rPh>
    <rPh sb="107" eb="110">
      <t>サイガイホウ</t>
    </rPh>
    <rPh sb="113" eb="115">
      <t>コウエイ</t>
    </rPh>
    <rPh sb="115" eb="117">
      <t>ジュウタク</t>
    </rPh>
    <rPh sb="117" eb="119">
      <t>ケンセツ</t>
    </rPh>
    <rPh sb="120" eb="122">
      <t>ホジョ</t>
    </rPh>
    <rPh sb="122" eb="123">
      <t>リツ</t>
    </rPh>
    <rPh sb="124" eb="126">
      <t>ヒキア</t>
    </rPh>
    <rPh sb="128" eb="130">
      <t>クイキ</t>
    </rPh>
    <rPh sb="133" eb="134">
      <t>オナ</t>
    </rPh>
    <phoneticPr fontId="21"/>
  </si>
  <si>
    <t>⑤　法第29条に規定する阪神・淡
　路大震災により相当な損害を受
　けた地域として大蔵大臣の指定
　する地域
　〔平7.3.27大蔵省告示第59号〕</t>
    <rPh sb="2" eb="3">
      <t>ホウ</t>
    </rPh>
    <rPh sb="3" eb="4">
      <t>ダイ</t>
    </rPh>
    <rPh sb="6" eb="7">
      <t>ジョウ</t>
    </rPh>
    <rPh sb="8" eb="10">
      <t>キテイ</t>
    </rPh>
    <rPh sb="12" eb="14">
      <t>ハンシン</t>
    </rPh>
    <rPh sb="15" eb="16">
      <t>タン</t>
    </rPh>
    <rPh sb="18" eb="19">
      <t>ミチ</t>
    </rPh>
    <rPh sb="19" eb="22">
      <t>ダイシンサイ</t>
    </rPh>
    <rPh sb="25" eb="27">
      <t>ソウトウ</t>
    </rPh>
    <rPh sb="28" eb="30">
      <t>ソンガイ</t>
    </rPh>
    <rPh sb="31" eb="32">
      <t>ウ</t>
    </rPh>
    <rPh sb="36" eb="38">
      <t>チイキ</t>
    </rPh>
    <rPh sb="41" eb="43">
      <t>オオクラ</t>
    </rPh>
    <rPh sb="43" eb="45">
      <t>ダイジン</t>
    </rPh>
    <rPh sb="46" eb="48">
      <t>シテイ</t>
    </rPh>
    <rPh sb="52" eb="54">
      <t>チイキ</t>
    </rPh>
    <rPh sb="57" eb="58">
      <t>ヘイ</t>
    </rPh>
    <rPh sb="64" eb="67">
      <t>オオクラショウ</t>
    </rPh>
    <rPh sb="67" eb="69">
      <t>コクジ</t>
    </rPh>
    <rPh sb="69" eb="70">
      <t>ダイ</t>
    </rPh>
    <rPh sb="72" eb="73">
      <t>ゴウ</t>
    </rPh>
    <phoneticPr fontId="21"/>
  </si>
  <si>
    <t>兵庫県の次の10市7町
　神戸市，尼崎市，明石市，西宮市，芦屋市，伊丹市，宝塚市，
　川西市，三木市，洲本市，津名郡の全6町（津名町，北淡町，
　一宮町，五色町，東浦町及び淡路町）並びに三原郡西淡町
大阪府の豊中市
　　　　　　　　　　　　　　　　　　　　※②の地域と同じ</t>
    <rPh sb="131" eb="133">
      <t>チイキ</t>
    </rPh>
    <rPh sb="134" eb="135">
      <t>オナ</t>
    </rPh>
    <phoneticPr fontId="21"/>
  </si>
  <si>
    <t>・相続税・贈与税における特定土地
  等・特定株式等に係る課税価格の
  計算の特例
　（法29）</t>
    <rPh sb="1" eb="4">
      <t>ソウゾクゼイ</t>
    </rPh>
    <rPh sb="5" eb="8">
      <t>ゾウヨゼイ</t>
    </rPh>
    <rPh sb="12" eb="14">
      <t>トクテイ</t>
    </rPh>
    <rPh sb="14" eb="16">
      <t>トチ</t>
    </rPh>
    <rPh sb="19" eb="20">
      <t>トウ</t>
    </rPh>
    <rPh sb="21" eb="23">
      <t>トクテイ</t>
    </rPh>
    <rPh sb="23" eb="25">
      <t>カブシキ</t>
    </rPh>
    <rPh sb="25" eb="26">
      <t>トウ</t>
    </rPh>
    <rPh sb="27" eb="28">
      <t>カカ</t>
    </rPh>
    <rPh sb="29" eb="30">
      <t>カ</t>
    </rPh>
    <rPh sb="30" eb="31">
      <t>ゼイ</t>
    </rPh>
    <rPh sb="31" eb="33">
      <t>カカク</t>
    </rPh>
    <rPh sb="37" eb="39">
      <t>ケイサン</t>
    </rPh>
    <rPh sb="40" eb="42">
      <t>トクレイ</t>
    </rPh>
    <rPh sb="45" eb="46">
      <t>ホウ</t>
    </rPh>
    <phoneticPr fontId="21"/>
  </si>
  <si>
    <t>⑥　阪神・淡路大震災に対処する
　ための特別の財政援助及び助成
　に関する法律第2条第1項に規定
　する特定被災地方公共団体
　〔平7.3.1政令第40号〕</t>
    <rPh sb="2" eb="4">
      <t>ハンシン</t>
    </rPh>
    <rPh sb="5" eb="7">
      <t>アワジ</t>
    </rPh>
    <rPh sb="7" eb="10">
      <t>ダイシンサイ</t>
    </rPh>
    <rPh sb="11" eb="13">
      <t>タイショ</t>
    </rPh>
    <rPh sb="20" eb="22">
      <t>トクベツ</t>
    </rPh>
    <rPh sb="23" eb="25">
      <t>ザイセイ</t>
    </rPh>
    <rPh sb="25" eb="27">
      <t>エンジョ</t>
    </rPh>
    <rPh sb="27" eb="28">
      <t>オヨ</t>
    </rPh>
    <rPh sb="29" eb="31">
      <t>ジョセイ</t>
    </rPh>
    <rPh sb="34" eb="35">
      <t>カン</t>
    </rPh>
    <rPh sb="37" eb="39">
      <t>ホウリツ</t>
    </rPh>
    <rPh sb="39" eb="40">
      <t>ダイ</t>
    </rPh>
    <rPh sb="40" eb="42">
      <t>ニジョウ</t>
    </rPh>
    <rPh sb="42" eb="43">
      <t>ダイ</t>
    </rPh>
    <rPh sb="44" eb="45">
      <t>コウ</t>
    </rPh>
    <rPh sb="46" eb="48">
      <t>キテイ</t>
    </rPh>
    <rPh sb="52" eb="54">
      <t>トクテイ</t>
    </rPh>
    <rPh sb="54" eb="56">
      <t>ヒサイ</t>
    </rPh>
    <rPh sb="56" eb="58">
      <t>チホウ</t>
    </rPh>
    <rPh sb="58" eb="60">
      <t>コウキョウ</t>
    </rPh>
    <rPh sb="60" eb="62">
      <t>ダンタイ</t>
    </rPh>
    <rPh sb="65" eb="66">
      <t>ヒラ</t>
    </rPh>
    <rPh sb="71" eb="73">
      <t>セイレイ</t>
    </rPh>
    <rPh sb="73" eb="74">
      <t>ダイ</t>
    </rPh>
    <rPh sb="76" eb="77">
      <t>ゴウ</t>
    </rPh>
    <phoneticPr fontId="21"/>
  </si>
  <si>
    <t>兵庫県
兵庫県の次の8市7町
　神戸市，尼崎市，明石市，西宮市，芦屋市，伊丹市，宝塚市，
　川西市，津名郡の全6町（津名町，北淡町，一宮町，五色町，
　東浦町及び淡路町）並びに三原郡緑町
大阪府の豊中市</t>
    <phoneticPr fontId="21"/>
  </si>
  <si>
    <t>兵庫県の次の10市11町
　神戸市，尼崎市，明石市，西宮市，芦屋市，伊丹市，宝塚市，
　川西市，三木市，洲本市，津名郡の全6町（津名町，北淡町，
　一宮町，五色町，東浦町及び淡路町），三原郡の全4町（西淡
　町，三原町，緑町及び南淡町）並びに加古郡播磨町
大阪府の次の12市
　豊中市，大阪市，池田市，吹田市，箕面市，堺市，岸和田市，
　高槻市，茨木市，泉佐野市，大東市及び高石市</t>
    <phoneticPr fontId="21"/>
  </si>
  <si>
    <t>（参考）
罹災都市借地借家臨時処理法の適用のある地区
　〔平7.2.6政令第16号〕</t>
    <rPh sb="1" eb="3">
      <t>サンコウ</t>
    </rPh>
    <rPh sb="5" eb="7">
      <t>リサイ</t>
    </rPh>
    <rPh sb="7" eb="9">
      <t>トシ</t>
    </rPh>
    <rPh sb="9" eb="11">
      <t>シャクチ</t>
    </rPh>
    <rPh sb="11" eb="13">
      <t>シャクヤ</t>
    </rPh>
    <rPh sb="13" eb="15">
      <t>リンジ</t>
    </rPh>
    <rPh sb="15" eb="18">
      <t>ショリホウ</t>
    </rPh>
    <rPh sb="19" eb="21">
      <t>テキヨウ</t>
    </rPh>
    <rPh sb="24" eb="26">
      <t>チク</t>
    </rPh>
    <rPh sb="29" eb="30">
      <t>ヒラ</t>
    </rPh>
    <rPh sb="35" eb="37">
      <t>セイレイ</t>
    </rPh>
    <rPh sb="37" eb="38">
      <t>ダイ</t>
    </rPh>
    <rPh sb="40" eb="41">
      <t>ゴウ</t>
    </rPh>
    <phoneticPr fontId="21"/>
  </si>
  <si>
    <t>・国税通則法第11条による申告期限等の延長
・法第43条（関税関係）による申告期限等の延長</t>
    <rPh sb="1" eb="3">
      <t>コクゼイ</t>
    </rPh>
    <rPh sb="3" eb="5">
      <t>ツウソク</t>
    </rPh>
    <rPh sb="5" eb="6">
      <t>ホウ</t>
    </rPh>
    <rPh sb="6" eb="7">
      <t>ダイ</t>
    </rPh>
    <rPh sb="9" eb="10">
      <t>ジョウ</t>
    </rPh>
    <rPh sb="13" eb="15">
      <t>シンコク</t>
    </rPh>
    <rPh sb="15" eb="17">
      <t>キゲン</t>
    </rPh>
    <rPh sb="17" eb="18">
      <t>トウ</t>
    </rPh>
    <rPh sb="19" eb="21">
      <t>エンチョウ</t>
    </rPh>
    <rPh sb="23" eb="24">
      <t>ホウ</t>
    </rPh>
    <rPh sb="24" eb="25">
      <t>ダイ</t>
    </rPh>
    <rPh sb="27" eb="28">
      <t>ジョウ</t>
    </rPh>
    <rPh sb="29" eb="31">
      <t>カンゼイ</t>
    </rPh>
    <rPh sb="31" eb="33">
      <t>カンケイ</t>
    </rPh>
    <rPh sb="37" eb="39">
      <t>シンコク</t>
    </rPh>
    <rPh sb="39" eb="41">
      <t>キゲン</t>
    </rPh>
    <rPh sb="41" eb="42">
      <t>トウ</t>
    </rPh>
    <rPh sb="43" eb="45">
      <t>エンチョウ</t>
    </rPh>
    <phoneticPr fontId="21"/>
  </si>
  <si>
    <t>・代替住宅等を取得した場合の課税　の繰延べの特例（法12）
・収用代替の特例又は5,000万円の特別控除（法13①一，19①一）
・1,500万円の特別控除
  （法13③，19③）
・優良住宅地等のための軽減税率の
  特例（法13⑤一，19⑤一）</t>
    <rPh sb="1" eb="3">
      <t>ダイタイ</t>
    </rPh>
    <rPh sb="3" eb="5">
      <t>ジュウタク</t>
    </rPh>
    <rPh sb="5" eb="6">
      <t>トウ</t>
    </rPh>
    <rPh sb="7" eb="9">
      <t>シュトク</t>
    </rPh>
    <rPh sb="11" eb="13">
      <t>バアイ</t>
    </rPh>
    <rPh sb="14" eb="15">
      <t>カ</t>
    </rPh>
    <rPh sb="15" eb="16">
      <t>ゼイ</t>
    </rPh>
    <phoneticPr fontId="21"/>
  </si>
  <si>
    <t>・収用代替の特例又は5,000万円の特別控除（法13①二，19①二）
・2,000万円の特別控除（法13②，19②）
・優良住宅地等のための軽減税率
　（法13⑤二，19⑤二）
・被災者向け優良賃貸住宅の割増償却（法9，17）</t>
    <phoneticPr fontId="21"/>
  </si>
  <si>
    <t>・ＦＡＺ減収補填被災地特例
　特定被災地方公共団体は，震災特例として激甚災害法の適用がある。</t>
    <rPh sb="4" eb="6">
      <t>ゲンシュウ</t>
    </rPh>
    <rPh sb="6" eb="8">
      <t>ホテン</t>
    </rPh>
    <rPh sb="8" eb="11">
      <t>ヒサイチ</t>
    </rPh>
    <rPh sb="11" eb="13">
      <t>トクレイ</t>
    </rPh>
    <rPh sb="18" eb="20">
      <t>トクテイ</t>
    </rPh>
    <rPh sb="20" eb="22">
      <t>ヒサイ</t>
    </rPh>
    <rPh sb="22" eb="24">
      <t>チホウ</t>
    </rPh>
    <rPh sb="24" eb="26">
      <t>コウキョウ</t>
    </rPh>
    <rPh sb="26" eb="28">
      <t>ダンタイ</t>
    </rPh>
    <rPh sb="30" eb="32">
      <t>シンサイ</t>
    </rPh>
    <rPh sb="32" eb="34">
      <t>トクレイ</t>
    </rPh>
    <rPh sb="37" eb="39">
      <t>ゲキジン</t>
    </rPh>
    <rPh sb="39" eb="42">
      <t>サイガイホウ</t>
    </rPh>
    <rPh sb="43" eb="45">
      <t>テキヨウ</t>
    </rPh>
    <phoneticPr fontId="21"/>
  </si>
  <si>
    <t>・法…阪神・淡路大震災の被災者等に係る国税関係法律の臨時特例に関する法律（平成12年10月1日）</t>
    <rPh sb="1" eb="2">
      <t>ホウ</t>
    </rPh>
    <rPh sb="3" eb="5">
      <t>ハンシン</t>
    </rPh>
    <rPh sb="6" eb="8">
      <t>アワジ</t>
    </rPh>
    <rPh sb="8" eb="11">
      <t>ダイシンサイ</t>
    </rPh>
    <rPh sb="12" eb="15">
      <t>ヒサイシャ</t>
    </rPh>
    <rPh sb="15" eb="16">
      <t>トウ</t>
    </rPh>
    <rPh sb="17" eb="18">
      <t>カカ</t>
    </rPh>
    <rPh sb="19" eb="21">
      <t>コクゼイ</t>
    </rPh>
    <rPh sb="21" eb="23">
      <t>カンケイ</t>
    </rPh>
    <rPh sb="23" eb="25">
      <t>ホウリツ</t>
    </rPh>
    <rPh sb="26" eb="28">
      <t>リンジ</t>
    </rPh>
    <rPh sb="28" eb="30">
      <t>トクレイ</t>
    </rPh>
    <rPh sb="31" eb="32">
      <t>カン</t>
    </rPh>
    <rPh sb="34" eb="36">
      <t>ホウリツ</t>
    </rPh>
    <rPh sb="37" eb="39">
      <t>ヘイセイ</t>
    </rPh>
    <rPh sb="41" eb="42">
      <t>ネン</t>
    </rPh>
    <rPh sb="44" eb="45">
      <t>ガツ</t>
    </rPh>
    <rPh sb="46" eb="47">
      <t>ニチ</t>
    </rPh>
    <phoneticPr fontId="21"/>
  </si>
  <si>
    <t>　　　ア　災害に対する一般的な税制上の取扱いの概要</t>
    <rPh sb="5" eb="7">
      <t>サイガイ</t>
    </rPh>
    <rPh sb="8" eb="9">
      <t>タイ</t>
    </rPh>
    <rPh sb="11" eb="14">
      <t>イッパンテキ</t>
    </rPh>
    <rPh sb="15" eb="18">
      <t>ゼイセイジョウ</t>
    </rPh>
    <rPh sb="19" eb="21">
      <t>トリアツカ</t>
    </rPh>
    <rPh sb="23" eb="25">
      <t>ガイヨウ</t>
    </rPh>
    <phoneticPr fontId="1"/>
  </si>
  <si>
    <t>　　　イ　阪神・淡路大震災に係る税制特例措置等の措置経過</t>
    <rPh sb="5" eb="7">
      <t>ハンシン</t>
    </rPh>
    <rPh sb="8" eb="13">
      <t>アワジダイシンサイ</t>
    </rPh>
    <rPh sb="14" eb="15">
      <t>カカワ</t>
    </rPh>
    <rPh sb="16" eb="18">
      <t>ゼイセイ</t>
    </rPh>
    <rPh sb="18" eb="20">
      <t>トクレイ</t>
    </rPh>
    <rPh sb="20" eb="22">
      <t>ソチ</t>
    </rPh>
    <rPh sb="22" eb="23">
      <t>トウ</t>
    </rPh>
    <rPh sb="24" eb="26">
      <t>ソチ</t>
    </rPh>
    <rPh sb="26" eb="28">
      <t>ケイカ</t>
    </rPh>
    <phoneticPr fontId="1"/>
  </si>
  <si>
    <t>　　　ウ　阪神・淡路大震災に係る税制特例措置一覧</t>
    <rPh sb="5" eb="7">
      <t>ハンシン</t>
    </rPh>
    <rPh sb="8" eb="13">
      <t>アワジダイシンサイ</t>
    </rPh>
    <rPh sb="14" eb="15">
      <t>カカワ</t>
    </rPh>
    <rPh sb="16" eb="18">
      <t>ゼイセイ</t>
    </rPh>
    <rPh sb="18" eb="20">
      <t>トクレイ</t>
    </rPh>
    <rPh sb="20" eb="22">
      <t>ソチ</t>
    </rPh>
    <rPh sb="22" eb="24">
      <t>イチラン</t>
    </rPh>
    <phoneticPr fontId="1"/>
  </si>
  <si>
    <t>　　　（付表）阪神・淡路大震災に係る税制措置に関する主な地域指定等の比較</t>
    <rPh sb="4" eb="6">
      <t>フヒョウ</t>
    </rPh>
    <rPh sb="7" eb="9">
      <t>ハンシン</t>
    </rPh>
    <rPh sb="10" eb="15">
      <t>アワジダイシンサイ</t>
    </rPh>
    <rPh sb="16" eb="17">
      <t>カカワ</t>
    </rPh>
    <rPh sb="18" eb="20">
      <t>ゼイセイ</t>
    </rPh>
    <rPh sb="20" eb="22">
      <t>ソチ</t>
    </rPh>
    <rPh sb="23" eb="24">
      <t>カン</t>
    </rPh>
    <rPh sb="26" eb="27">
      <t>オモ</t>
    </rPh>
    <rPh sb="28" eb="33">
      <t>チイキシテイトウ</t>
    </rPh>
    <rPh sb="34" eb="36">
      <t>ヒカク</t>
    </rPh>
    <phoneticPr fontId="1"/>
  </si>
  <si>
    <t>(単位：人）</t>
    <rPh sb="1" eb="3">
      <t>タンイ</t>
    </rPh>
    <rPh sb="4" eb="5">
      <t>ニン</t>
    </rPh>
    <phoneticPr fontId="1"/>
  </si>
  <si>
    <t>所得税の
納税義務あり</t>
    <phoneticPr fontId="1"/>
  </si>
  <si>
    <t>所得税の
納税義務なし</t>
    <phoneticPr fontId="1"/>
  </si>
  <si>
    <t>左のうち
税額調整措置
に係る者</t>
    <rPh sb="0" eb="1">
      <t>ヒダリ</t>
    </rPh>
    <rPh sb="5" eb="7">
      <t>ゼイガク</t>
    </rPh>
    <rPh sb="7" eb="9">
      <t>チョウセイ</t>
    </rPh>
    <rPh sb="9" eb="11">
      <t>ソチ</t>
    </rPh>
    <rPh sb="13" eb="14">
      <t>カカワ</t>
    </rPh>
    <rPh sb="15" eb="16">
      <t>モノ</t>
    </rPh>
    <phoneticPr fontId="1"/>
  </si>
  <si>
    <t>小計</t>
    <rPh sb="0" eb="2">
      <t>ショウケイ</t>
    </rPh>
    <phoneticPr fontId="1"/>
  </si>
  <si>
    <t>（注）「市町村課税状況等の調、第58表（第12表関係）」をもとに，記載している。</t>
    <phoneticPr fontId="2"/>
  </si>
  <si>
    <t>総所得金額</t>
    <rPh sb="0" eb="3">
      <t>ソウショトク</t>
    </rPh>
    <rPh sb="3" eb="5">
      <t>キンガク</t>
    </rPh>
    <phoneticPr fontId="1"/>
  </si>
  <si>
    <t>所得控除額</t>
    <rPh sb="0" eb="5">
      <t>ショトクコウジョガク</t>
    </rPh>
    <phoneticPr fontId="1"/>
  </si>
  <si>
    <t>（単位：千円）</t>
    <rPh sb="1" eb="3">
      <t>タンイ</t>
    </rPh>
    <rPh sb="4" eb="6">
      <t>センエン</t>
    </rPh>
    <phoneticPr fontId="1"/>
  </si>
  <si>
    <t>山林所得金額</t>
    <rPh sb="0" eb="2">
      <t>サンリン</t>
    </rPh>
    <rPh sb="2" eb="4">
      <t>ショトク</t>
    </rPh>
    <rPh sb="4" eb="6">
      <t>キンガク</t>
    </rPh>
    <phoneticPr fontId="1"/>
  </si>
  <si>
    <t>退職所得金額</t>
    <rPh sb="0" eb="2">
      <t>タイショク</t>
    </rPh>
    <rPh sb="2" eb="4">
      <t>ショトク</t>
    </rPh>
    <rPh sb="4" eb="6">
      <t>キンガク</t>
    </rPh>
    <phoneticPr fontId="1"/>
  </si>
  <si>
    <t>分離短期譲渡所得金額に係る所得金額</t>
    <rPh sb="0" eb="2">
      <t>ブンリ</t>
    </rPh>
    <rPh sb="2" eb="4">
      <t>タンキ</t>
    </rPh>
    <rPh sb="4" eb="6">
      <t>ジョウト</t>
    </rPh>
    <rPh sb="6" eb="8">
      <t>ショトク</t>
    </rPh>
    <rPh sb="8" eb="10">
      <t>キンガク</t>
    </rPh>
    <rPh sb="11" eb="12">
      <t>カカワ</t>
    </rPh>
    <rPh sb="13" eb="15">
      <t>ショトク</t>
    </rPh>
    <rPh sb="15" eb="17">
      <t>キンガク</t>
    </rPh>
    <phoneticPr fontId="1"/>
  </si>
  <si>
    <t>分離長期譲渡所得金額
に係る所得金額</t>
    <rPh sb="0" eb="2">
      <t>ブンリ</t>
    </rPh>
    <rPh sb="2" eb="4">
      <t>チョウキ</t>
    </rPh>
    <rPh sb="4" eb="6">
      <t>ジョウト</t>
    </rPh>
    <rPh sb="6" eb="8">
      <t>ショトク</t>
    </rPh>
    <rPh sb="8" eb="10">
      <t>キンガク</t>
    </rPh>
    <rPh sb="12" eb="13">
      <t>カカワ</t>
    </rPh>
    <rPh sb="14" eb="16">
      <t>ショトク</t>
    </rPh>
    <rPh sb="16" eb="18">
      <t>キンガク</t>
    </rPh>
    <phoneticPr fontId="1"/>
  </si>
  <si>
    <t>左のうち優良住宅地
としての譲渡
に係る金額</t>
    <rPh sb="0" eb="1">
      <t>ヒダリ</t>
    </rPh>
    <rPh sb="4" eb="6">
      <t>ユウリョウ</t>
    </rPh>
    <rPh sb="6" eb="8">
      <t>ジュウタク</t>
    </rPh>
    <rPh sb="8" eb="9">
      <t>チ</t>
    </rPh>
    <rPh sb="14" eb="16">
      <t>ジョウト</t>
    </rPh>
    <rPh sb="18" eb="19">
      <t>カカワ</t>
    </rPh>
    <rPh sb="20" eb="22">
      <t>キンガク</t>
    </rPh>
    <phoneticPr fontId="1"/>
  </si>
  <si>
    <t>株式等に係る
譲渡所得等の金額</t>
    <rPh sb="0" eb="2">
      <t>カブシキ</t>
    </rPh>
    <rPh sb="2" eb="3">
      <t>トウ</t>
    </rPh>
    <rPh sb="4" eb="5">
      <t>カカワ</t>
    </rPh>
    <rPh sb="7" eb="9">
      <t>ジョウト</t>
    </rPh>
    <rPh sb="9" eb="11">
      <t>ショトク</t>
    </rPh>
    <rPh sb="11" eb="12">
      <t>トウ</t>
    </rPh>
    <rPh sb="13" eb="15">
      <t>キンガク</t>
    </rPh>
    <phoneticPr fontId="1"/>
  </si>
  <si>
    <t>上場株式等に係る
配当所得金額</t>
    <rPh sb="0" eb="2">
      <t>ジョウジョウ</t>
    </rPh>
    <rPh sb="2" eb="4">
      <t>カブシキ</t>
    </rPh>
    <rPh sb="4" eb="5">
      <t>トウ</t>
    </rPh>
    <rPh sb="6" eb="7">
      <t>カカワ</t>
    </rPh>
    <rPh sb="9" eb="11">
      <t>ハイトウ</t>
    </rPh>
    <rPh sb="11" eb="13">
      <t>ショトク</t>
    </rPh>
    <rPh sb="13" eb="15">
      <t>キンガク</t>
    </rPh>
    <phoneticPr fontId="1"/>
  </si>
  <si>
    <t>先物取引に係る
雑所得等の金額</t>
    <rPh sb="0" eb="2">
      <t>サキモノ</t>
    </rPh>
    <rPh sb="2" eb="4">
      <t>トリヒキ</t>
    </rPh>
    <rPh sb="5" eb="6">
      <t>カカワ</t>
    </rPh>
    <rPh sb="8" eb="11">
      <t>ザッショトク</t>
    </rPh>
    <rPh sb="11" eb="12">
      <t>トウ</t>
    </rPh>
    <rPh sb="13" eb="15">
      <t>キンガク</t>
    </rPh>
    <phoneticPr fontId="1"/>
  </si>
  <si>
    <t>雑損</t>
    <rPh sb="0" eb="2">
      <t>ザッソン</t>
    </rPh>
    <phoneticPr fontId="1"/>
  </si>
  <si>
    <t>医療費</t>
    <rPh sb="0" eb="3">
      <t>イリョウヒ</t>
    </rPh>
    <phoneticPr fontId="1"/>
  </si>
  <si>
    <t>社会保険料</t>
    <rPh sb="0" eb="2">
      <t>シャカイ</t>
    </rPh>
    <rPh sb="2" eb="5">
      <t>ホケンリョウ</t>
    </rPh>
    <phoneticPr fontId="1"/>
  </si>
  <si>
    <t>小規模企業
共済等掛金</t>
    <rPh sb="0" eb="3">
      <t>ショウキボ</t>
    </rPh>
    <rPh sb="3" eb="5">
      <t>キギョウ</t>
    </rPh>
    <rPh sb="6" eb="8">
      <t>キョウサイ</t>
    </rPh>
    <rPh sb="8" eb="9">
      <t>トウ</t>
    </rPh>
    <rPh sb="9" eb="11">
      <t>カケキン</t>
    </rPh>
    <phoneticPr fontId="1"/>
  </si>
  <si>
    <t>生命保険料</t>
    <rPh sb="0" eb="2">
      <t>セイメイ</t>
    </rPh>
    <rPh sb="2" eb="4">
      <t>ホケン</t>
    </rPh>
    <rPh sb="4" eb="5">
      <t>リョウ</t>
    </rPh>
    <phoneticPr fontId="1"/>
  </si>
  <si>
    <t>地震保険料</t>
    <rPh sb="0" eb="2">
      <t>ジシン</t>
    </rPh>
    <rPh sb="2" eb="5">
      <t>ホケンリョウ</t>
    </rPh>
    <phoneticPr fontId="1"/>
  </si>
  <si>
    <t>寄附金</t>
    <rPh sb="0" eb="3">
      <t>キフキン</t>
    </rPh>
    <phoneticPr fontId="1"/>
  </si>
  <si>
    <t>障害者</t>
    <rPh sb="0" eb="3">
      <t>ショウガイシャ</t>
    </rPh>
    <phoneticPr fontId="1"/>
  </si>
  <si>
    <t>寡婦</t>
    <rPh sb="0" eb="2">
      <t>カフ</t>
    </rPh>
    <phoneticPr fontId="1"/>
  </si>
  <si>
    <t>寡夫</t>
    <rPh sb="0" eb="2">
      <t>カフ</t>
    </rPh>
    <phoneticPr fontId="1"/>
  </si>
  <si>
    <t>ひとり親</t>
    <rPh sb="3" eb="4">
      <t>オヤ</t>
    </rPh>
    <phoneticPr fontId="1"/>
  </si>
  <si>
    <t>配偶者</t>
    <rPh sb="0" eb="3">
      <t>ハイグウシャ</t>
    </rPh>
    <phoneticPr fontId="1"/>
  </si>
  <si>
    <t>配偶者特別</t>
    <rPh sb="0" eb="3">
      <t>ハイグウシャ</t>
    </rPh>
    <rPh sb="3" eb="5">
      <t>トクベツ</t>
    </rPh>
    <phoneticPr fontId="1"/>
  </si>
  <si>
    <t>扶養</t>
    <rPh sb="0" eb="2">
      <t>フヨウ</t>
    </rPh>
    <phoneticPr fontId="1"/>
  </si>
  <si>
    <t>基礎</t>
    <rPh sb="0" eb="2">
      <t>キソ</t>
    </rPh>
    <phoneticPr fontId="1"/>
  </si>
  <si>
    <t>特別障害者
のうち
同居特障加算分</t>
    <rPh sb="0" eb="2">
      <t>トクベツ</t>
    </rPh>
    <rPh sb="2" eb="5">
      <t>ショウガイシャ</t>
    </rPh>
    <rPh sb="10" eb="12">
      <t>ドウキョ</t>
    </rPh>
    <rPh sb="12" eb="13">
      <t>トク</t>
    </rPh>
    <rPh sb="13" eb="14">
      <t>ショウ</t>
    </rPh>
    <rPh sb="14" eb="16">
      <t>カサン</t>
    </rPh>
    <rPh sb="16" eb="17">
      <t>ブン</t>
    </rPh>
    <phoneticPr fontId="1"/>
  </si>
  <si>
    <t>（４）課税標準額段階別　総所得金額・所得控除額の推移</t>
    <rPh sb="7" eb="8">
      <t>ガク</t>
    </rPh>
    <rPh sb="18" eb="20">
      <t>ショトク</t>
    </rPh>
    <rPh sb="20" eb="22">
      <t>コウジョ</t>
    </rPh>
    <rPh sb="22" eb="23">
      <t>ガク</t>
    </rPh>
    <rPh sb="24" eb="26">
      <t>スイイ</t>
    </rPh>
    <phoneticPr fontId="1"/>
  </si>
  <si>
    <t>（注）「市町村課税状況等の調、第12表、第59表（第12表関係）」をもとに，記載している。</t>
    <rPh sb="15" eb="16">
      <t>ダイ</t>
    </rPh>
    <rPh sb="18" eb="19">
      <t>ヒョウ</t>
    </rPh>
    <rPh sb="20" eb="21">
      <t>ダイ</t>
    </rPh>
    <rPh sb="23" eb="24">
      <t>ヒョウ</t>
    </rPh>
    <phoneticPr fontId="2"/>
  </si>
  <si>
    <t>（５）課税標準額段階別　課税標準額・算出税額・所得割額等の推移</t>
    <rPh sb="7" eb="8">
      <t>ガク</t>
    </rPh>
    <rPh sb="12" eb="14">
      <t>カゼイ</t>
    </rPh>
    <rPh sb="14" eb="16">
      <t>ヒョウジュン</t>
    </rPh>
    <rPh sb="16" eb="17">
      <t>ガク</t>
    </rPh>
    <rPh sb="18" eb="20">
      <t>サンシュツ</t>
    </rPh>
    <rPh sb="20" eb="22">
      <t>ゼイガク</t>
    </rPh>
    <rPh sb="23" eb="25">
      <t>ショトク</t>
    </rPh>
    <rPh sb="25" eb="26">
      <t>ワリ</t>
    </rPh>
    <rPh sb="26" eb="27">
      <t>ガク</t>
    </rPh>
    <rPh sb="27" eb="28">
      <t>トウ</t>
    </rPh>
    <phoneticPr fontId="1"/>
  </si>
  <si>
    <t>総所得金額
に係るもの</t>
    <rPh sb="0" eb="3">
      <t>ソウショトク</t>
    </rPh>
    <rPh sb="3" eb="5">
      <t>キンガク</t>
    </rPh>
    <rPh sb="7" eb="8">
      <t>カカワ</t>
    </rPh>
    <phoneticPr fontId="1"/>
  </si>
  <si>
    <t>山林所得金額
に係るもの</t>
    <rPh sb="0" eb="2">
      <t>サンリン</t>
    </rPh>
    <rPh sb="2" eb="4">
      <t>ショトク</t>
    </rPh>
    <rPh sb="4" eb="6">
      <t>キンガク</t>
    </rPh>
    <rPh sb="8" eb="9">
      <t>カカワ</t>
    </rPh>
    <phoneticPr fontId="1"/>
  </si>
  <si>
    <t>退職所得金額
に係るもの</t>
    <rPh sb="0" eb="2">
      <t>タイショク</t>
    </rPh>
    <rPh sb="2" eb="4">
      <t>ショトク</t>
    </rPh>
    <rPh sb="4" eb="6">
      <t>キンガク</t>
    </rPh>
    <rPh sb="8" eb="9">
      <t>カカワ</t>
    </rPh>
    <phoneticPr fontId="1"/>
  </si>
  <si>
    <t>小計
A</t>
    <rPh sb="0" eb="2">
      <t>ショウケイ</t>
    </rPh>
    <phoneticPr fontId="1"/>
  </si>
  <si>
    <t>分離短期譲渡
所得金額に
係るもの</t>
    <rPh sb="0" eb="2">
      <t>ブンリ</t>
    </rPh>
    <rPh sb="2" eb="4">
      <t>タンキ</t>
    </rPh>
    <rPh sb="4" eb="6">
      <t>ジョウト</t>
    </rPh>
    <rPh sb="7" eb="9">
      <t>ショトク</t>
    </rPh>
    <rPh sb="9" eb="11">
      <t>キンガク</t>
    </rPh>
    <rPh sb="13" eb="14">
      <t>カカワ</t>
    </rPh>
    <phoneticPr fontId="1"/>
  </si>
  <si>
    <t>分離長期譲渡
所得金額に
係るもの</t>
    <rPh sb="0" eb="2">
      <t>ブンリ</t>
    </rPh>
    <rPh sb="2" eb="4">
      <t>チョウキ</t>
    </rPh>
    <rPh sb="4" eb="6">
      <t>ジョウト</t>
    </rPh>
    <rPh sb="7" eb="9">
      <t>ショトク</t>
    </rPh>
    <rPh sb="9" eb="11">
      <t>キンガク</t>
    </rPh>
    <rPh sb="13" eb="14">
      <t>カカワ</t>
    </rPh>
    <phoneticPr fontId="1"/>
  </si>
  <si>
    <t>株式等に係る
譲渡所得等の
金額に係るもの</t>
    <rPh sb="0" eb="2">
      <t>カブシキ</t>
    </rPh>
    <rPh sb="2" eb="3">
      <t>トウ</t>
    </rPh>
    <rPh sb="4" eb="5">
      <t>カカワ</t>
    </rPh>
    <rPh sb="7" eb="9">
      <t>ジョウト</t>
    </rPh>
    <rPh sb="9" eb="11">
      <t>ショトク</t>
    </rPh>
    <rPh sb="11" eb="12">
      <t>トウ</t>
    </rPh>
    <rPh sb="14" eb="16">
      <t>キンガク</t>
    </rPh>
    <rPh sb="17" eb="18">
      <t>カカワ</t>
    </rPh>
    <phoneticPr fontId="1"/>
  </si>
  <si>
    <t>上場株式等の
配当所得金額に
係るもの</t>
    <rPh sb="0" eb="2">
      <t>ジョウジョウ</t>
    </rPh>
    <rPh sb="2" eb="5">
      <t>カブシキナド</t>
    </rPh>
    <rPh sb="7" eb="9">
      <t>ハイトウ</t>
    </rPh>
    <rPh sb="9" eb="11">
      <t>ショトク</t>
    </rPh>
    <rPh sb="11" eb="13">
      <t>キンガク</t>
    </rPh>
    <rPh sb="15" eb="16">
      <t>カカワ</t>
    </rPh>
    <phoneticPr fontId="1"/>
  </si>
  <si>
    <t>先物取引に係る雑所得等の金額に係るもの</t>
    <rPh sb="0" eb="2">
      <t>サキモノ</t>
    </rPh>
    <rPh sb="2" eb="4">
      <t>トリヒキ</t>
    </rPh>
    <rPh sb="5" eb="6">
      <t>カカワ</t>
    </rPh>
    <rPh sb="7" eb="10">
      <t>ザッショトク</t>
    </rPh>
    <rPh sb="10" eb="11">
      <t>トウ</t>
    </rPh>
    <rPh sb="12" eb="14">
      <t>キンガク</t>
    </rPh>
    <rPh sb="15" eb="16">
      <t>カカワ</t>
    </rPh>
    <phoneticPr fontId="1"/>
  </si>
  <si>
    <t>総所得、山林所得
及び退職所得金額分
B</t>
    <rPh sb="0" eb="3">
      <t>ソウショトク</t>
    </rPh>
    <rPh sb="4" eb="6">
      <t>サンリン</t>
    </rPh>
    <rPh sb="6" eb="8">
      <t>ショトク</t>
    </rPh>
    <rPh sb="9" eb="10">
      <t>オヨ</t>
    </rPh>
    <rPh sb="11" eb="13">
      <t>タイショク</t>
    </rPh>
    <rPh sb="13" eb="15">
      <t>ショトク</t>
    </rPh>
    <rPh sb="15" eb="17">
      <t>キンガク</t>
    </rPh>
    <rPh sb="17" eb="18">
      <t>ブン</t>
    </rPh>
    <phoneticPr fontId="1"/>
  </si>
  <si>
    <t>分離短期譲渡
所得分</t>
    <rPh sb="0" eb="2">
      <t>ブンリ</t>
    </rPh>
    <rPh sb="2" eb="4">
      <t>タンキ</t>
    </rPh>
    <rPh sb="4" eb="6">
      <t>ジョウト</t>
    </rPh>
    <rPh sb="7" eb="9">
      <t>ショトク</t>
    </rPh>
    <rPh sb="9" eb="10">
      <t>ブン</t>
    </rPh>
    <phoneticPr fontId="1"/>
  </si>
  <si>
    <t>分離長期譲渡
所得分</t>
    <rPh sb="0" eb="2">
      <t>ブンリ</t>
    </rPh>
    <rPh sb="2" eb="4">
      <t>チョウキ</t>
    </rPh>
    <rPh sb="4" eb="6">
      <t>ジョウト</t>
    </rPh>
    <rPh sb="7" eb="9">
      <t>ショトク</t>
    </rPh>
    <rPh sb="9" eb="10">
      <t>ブン</t>
    </rPh>
    <phoneticPr fontId="1"/>
  </si>
  <si>
    <t>株式等に係る
譲渡所得等分</t>
    <rPh sb="0" eb="2">
      <t>カブシキ</t>
    </rPh>
    <rPh sb="2" eb="3">
      <t>トウ</t>
    </rPh>
    <rPh sb="4" eb="5">
      <t>カカワ</t>
    </rPh>
    <rPh sb="7" eb="9">
      <t>ジョウト</t>
    </rPh>
    <rPh sb="9" eb="11">
      <t>ショトク</t>
    </rPh>
    <rPh sb="11" eb="13">
      <t>トウブン</t>
    </rPh>
    <phoneticPr fontId="1"/>
  </si>
  <si>
    <t>上場株式等の
配当所得金額
に係る分</t>
    <rPh sb="0" eb="2">
      <t>ジョウジョウ</t>
    </rPh>
    <rPh sb="2" eb="4">
      <t>カブシキ</t>
    </rPh>
    <rPh sb="4" eb="5">
      <t>トウ</t>
    </rPh>
    <rPh sb="7" eb="9">
      <t>ハイトウ</t>
    </rPh>
    <rPh sb="9" eb="11">
      <t>ショトク</t>
    </rPh>
    <rPh sb="11" eb="13">
      <t>キンガク</t>
    </rPh>
    <rPh sb="15" eb="16">
      <t>カカワ</t>
    </rPh>
    <rPh sb="17" eb="18">
      <t>ブン</t>
    </rPh>
    <phoneticPr fontId="1"/>
  </si>
  <si>
    <t>先物取引に係る
雑所得等分</t>
    <rPh sb="0" eb="2">
      <t>サキモノ</t>
    </rPh>
    <rPh sb="2" eb="4">
      <t>トリヒキ</t>
    </rPh>
    <rPh sb="5" eb="6">
      <t>カカワ</t>
    </rPh>
    <rPh sb="8" eb="11">
      <t>ザッショトク</t>
    </rPh>
    <rPh sb="11" eb="12">
      <t>トウ</t>
    </rPh>
    <rPh sb="12" eb="13">
      <t>ブン</t>
    </rPh>
    <phoneticPr fontId="1"/>
  </si>
  <si>
    <t>調整控除</t>
    <rPh sb="0" eb="2">
      <t>チョウセイ</t>
    </rPh>
    <rPh sb="2" eb="4">
      <t>コウジョ</t>
    </rPh>
    <phoneticPr fontId="1"/>
  </si>
  <si>
    <t>配当控除</t>
    <rPh sb="0" eb="2">
      <t>ハイトウ</t>
    </rPh>
    <rPh sb="2" eb="4">
      <t>コウジョ</t>
    </rPh>
    <phoneticPr fontId="1"/>
  </si>
  <si>
    <t>住宅借入金等
特別税額控除</t>
    <rPh sb="0" eb="2">
      <t>ジュウタク</t>
    </rPh>
    <rPh sb="2" eb="5">
      <t>シャクニュウキン</t>
    </rPh>
    <rPh sb="5" eb="6">
      <t>トウ</t>
    </rPh>
    <rPh sb="7" eb="9">
      <t>トクベツ</t>
    </rPh>
    <rPh sb="9" eb="11">
      <t>ゼイガク</t>
    </rPh>
    <rPh sb="11" eb="13">
      <t>コウジョ</t>
    </rPh>
    <phoneticPr fontId="1"/>
  </si>
  <si>
    <t>寄附金税額
控除</t>
    <rPh sb="0" eb="3">
      <t>キフキン</t>
    </rPh>
    <rPh sb="3" eb="5">
      <t>ゼイガク</t>
    </rPh>
    <rPh sb="6" eb="8">
      <t>コウジョ</t>
    </rPh>
    <phoneticPr fontId="1"/>
  </si>
  <si>
    <t>外国税額控除</t>
    <rPh sb="0" eb="2">
      <t>ガイコク</t>
    </rPh>
    <rPh sb="2" eb="4">
      <t>ゼイガク</t>
    </rPh>
    <rPh sb="4" eb="6">
      <t>コウジョ</t>
    </rPh>
    <phoneticPr fontId="1"/>
  </si>
  <si>
    <t>税額調整額</t>
    <rPh sb="0" eb="2">
      <t>ゼイガク</t>
    </rPh>
    <rPh sb="2" eb="4">
      <t>チョウセイ</t>
    </rPh>
    <rPh sb="4" eb="5">
      <t>ガク</t>
    </rPh>
    <phoneticPr fontId="1"/>
  </si>
  <si>
    <t>配当割額の控除額</t>
    <rPh sb="0" eb="2">
      <t>ハイトウ</t>
    </rPh>
    <rPh sb="2" eb="3">
      <t>ワリ</t>
    </rPh>
    <rPh sb="3" eb="4">
      <t>ガク</t>
    </rPh>
    <rPh sb="5" eb="7">
      <t>コウジョ</t>
    </rPh>
    <rPh sb="7" eb="8">
      <t>ガク</t>
    </rPh>
    <phoneticPr fontId="1"/>
  </si>
  <si>
    <t>株式等譲渡
所得割額の
控除額</t>
    <rPh sb="0" eb="2">
      <t>カブシキ</t>
    </rPh>
    <rPh sb="2" eb="3">
      <t>トウ</t>
    </rPh>
    <rPh sb="3" eb="5">
      <t>ジョウト</t>
    </rPh>
    <rPh sb="6" eb="8">
      <t>ショトク</t>
    </rPh>
    <rPh sb="8" eb="9">
      <t>ワリ</t>
    </rPh>
    <rPh sb="9" eb="10">
      <t>ガク</t>
    </rPh>
    <rPh sb="12" eb="14">
      <t>コウジョ</t>
    </rPh>
    <rPh sb="14" eb="15">
      <t>ガク</t>
    </rPh>
    <phoneticPr fontId="1"/>
  </si>
  <si>
    <t>減免税額</t>
    <rPh sb="0" eb="2">
      <t>ゲンメン</t>
    </rPh>
    <rPh sb="2" eb="4">
      <t>ゼイガク</t>
    </rPh>
    <phoneticPr fontId="1"/>
  </si>
  <si>
    <t>所得税の
納税義務
あり</t>
    <rPh sb="0" eb="3">
      <t>ショトクゼイ</t>
    </rPh>
    <rPh sb="5" eb="7">
      <t>ノウゼイ</t>
    </rPh>
    <rPh sb="7" eb="9">
      <t>ギム</t>
    </rPh>
    <phoneticPr fontId="1"/>
  </si>
  <si>
    <t>所得税の
納税義務
なし</t>
    <rPh sb="0" eb="3">
      <t>ショトクゼイ</t>
    </rPh>
    <rPh sb="5" eb="7">
      <t>ノウゼイ</t>
    </rPh>
    <rPh sb="7" eb="9">
      <t>ギム</t>
    </rPh>
    <phoneticPr fontId="1"/>
  </si>
  <si>
    <t>（４）課税標準額段階別　総所得金額・所得控除額の推移</t>
    <rPh sb="3" eb="5">
      <t>カゼイ</t>
    </rPh>
    <rPh sb="5" eb="7">
      <t>ヒョウジュン</t>
    </rPh>
    <rPh sb="7" eb="8">
      <t>ガク</t>
    </rPh>
    <rPh sb="8" eb="10">
      <t>ダンカイ</t>
    </rPh>
    <rPh sb="10" eb="11">
      <t>ベツ</t>
    </rPh>
    <rPh sb="12" eb="15">
      <t>ソウショトク</t>
    </rPh>
    <rPh sb="15" eb="17">
      <t>キンガク</t>
    </rPh>
    <rPh sb="18" eb="20">
      <t>ショトク</t>
    </rPh>
    <rPh sb="20" eb="22">
      <t>コウジョ</t>
    </rPh>
    <rPh sb="22" eb="23">
      <t>ガク</t>
    </rPh>
    <rPh sb="24" eb="26">
      <t>スイイ</t>
    </rPh>
    <phoneticPr fontId="1"/>
  </si>
  <si>
    <t>（５）課税標準額段階別　課税標準額・算出税額・所得割額等の推移</t>
    <phoneticPr fontId="1"/>
  </si>
  <si>
    <t>（３）課税標準額段階別　納税義務者数の推移</t>
    <rPh sb="7" eb="8">
      <t>ガク</t>
    </rPh>
    <phoneticPr fontId="1"/>
  </si>
  <si>
    <t>（３）課税標準額段階別　納税義務者数の推移</t>
    <phoneticPr fontId="1"/>
  </si>
  <si>
    <t>(注）端数処理のため、合計が一致しない場合がある。</t>
    <phoneticPr fontId="1"/>
  </si>
  <si>
    <t>令和４年度</t>
    <rPh sb="0" eb="2">
      <t>レイワ</t>
    </rPh>
    <rPh sb="3" eb="5">
      <t>ネンド</t>
    </rPh>
    <phoneticPr fontId="1"/>
  </si>
  <si>
    <t>令和３年度</t>
  </si>
  <si>
    <t>令和４年度</t>
    <rPh sb="0" eb="2">
      <t>レイワ</t>
    </rPh>
    <rPh sb="3" eb="4">
      <t>ネン</t>
    </rPh>
    <rPh sb="4" eb="5">
      <t>ド</t>
    </rPh>
    <phoneticPr fontId="1"/>
  </si>
  <si>
    <t>－</t>
  </si>
  <si>
    <t>令和２年度</t>
    <phoneticPr fontId="2"/>
  </si>
  <si>
    <t>決算調定額</t>
    <phoneticPr fontId="1"/>
  </si>
  <si>
    <t>構成比</t>
    <phoneticPr fontId="1"/>
  </si>
  <si>
    <t>令和３年度</t>
    <rPh sb="0" eb="2">
      <t>レイワ</t>
    </rPh>
    <rPh sb="3" eb="5">
      <t>ネンド</t>
    </rPh>
    <rPh sb="4" eb="5">
      <t>ド</t>
    </rPh>
    <phoneticPr fontId="2"/>
  </si>
  <si>
    <t>令和２年度</t>
    <phoneticPr fontId="1"/>
  </si>
  <si>
    <t>件</t>
    <phoneticPr fontId="2"/>
  </si>
  <si>
    <t>令和４年度</t>
    <rPh sb="0" eb="2">
      <t>レイワ</t>
    </rPh>
    <rPh sb="3" eb="5">
      <t>ネンド</t>
    </rPh>
    <phoneticPr fontId="15"/>
  </si>
  <si>
    <t>免除</t>
  </si>
  <si>
    <t>非課税</t>
  </si>
  <si>
    <t>令和３年度</t>
    <phoneticPr fontId="15"/>
  </si>
  <si>
    <t>令和３年度</t>
    <phoneticPr fontId="1"/>
  </si>
  <si>
    <t>～3.9   6,122円/千本</t>
  </si>
  <si>
    <t>3.10～　6,522円/千本</t>
  </si>
  <si>
    <t>48</t>
  </si>
  <si>
    <t>２．特別徴収分には年金特別徴収分を含む。</t>
    <rPh sb="2" eb="4">
      <t>トクベツ</t>
    </rPh>
    <rPh sb="4" eb="6">
      <t>チョウシュウ</t>
    </rPh>
    <rPh sb="6" eb="7">
      <t>ブン</t>
    </rPh>
    <rPh sb="9" eb="11">
      <t>ネンキン</t>
    </rPh>
    <rPh sb="11" eb="13">
      <t>トクベツ</t>
    </rPh>
    <rPh sb="13" eb="15">
      <t>チョウシュウ</t>
    </rPh>
    <rPh sb="15" eb="16">
      <t>ブン</t>
    </rPh>
    <rPh sb="17" eb="18">
      <t>フク</t>
    </rPh>
    <phoneticPr fontId="2"/>
  </si>
  <si>
    <t>２．特別徴収分には年金特別徴収分を含む。</t>
    <rPh sb="2" eb="4">
      <t>トクベツ</t>
    </rPh>
    <rPh sb="4" eb="6">
      <t>チョウシュウ</t>
    </rPh>
    <rPh sb="6" eb="7">
      <t>ブン</t>
    </rPh>
    <rPh sb="9" eb="11">
      <t>ネンキン</t>
    </rPh>
    <rPh sb="11" eb="15">
      <t>トクベツチョウシュウ</t>
    </rPh>
    <rPh sb="15" eb="16">
      <t>ブン</t>
    </rPh>
    <rPh sb="17" eb="18">
      <t>フク</t>
    </rPh>
    <phoneticPr fontId="2"/>
  </si>
  <si>
    <t>令和３年度</t>
    <phoneticPr fontId="2"/>
  </si>
  <si>
    <t>３．左の＋ボタンを押すと、区別の内訳が表示されます。（令和３年度分以降）</t>
    <rPh sb="2" eb="3">
      <t>ヒダリ</t>
    </rPh>
    <rPh sb="9" eb="10">
      <t>オ</t>
    </rPh>
    <rPh sb="13" eb="15">
      <t>クベツ</t>
    </rPh>
    <rPh sb="16" eb="18">
      <t>ウチワケ</t>
    </rPh>
    <rPh sb="19" eb="21">
      <t>ヒョウジ</t>
    </rPh>
    <rPh sb="27" eb="29">
      <t>レイワ</t>
    </rPh>
    <rPh sb="30" eb="32">
      <t>ネンド</t>
    </rPh>
    <rPh sb="32" eb="33">
      <t>ブン</t>
    </rPh>
    <rPh sb="33" eb="35">
      <t>イコウ</t>
    </rPh>
    <phoneticPr fontId="2"/>
  </si>
  <si>
    <t>課税標準額別内訳</t>
    <rPh sb="0" eb="5">
      <t>カゼイヒョウジュンガク</t>
    </rPh>
    <rPh sb="5" eb="6">
      <t>ベツ</t>
    </rPh>
    <rPh sb="6" eb="8">
      <t>ウチワケ</t>
    </rPh>
    <phoneticPr fontId="1"/>
  </si>
  <si>
    <t>区別内訳</t>
    <rPh sb="0" eb="1">
      <t>ク</t>
    </rPh>
    <rPh sb="1" eb="2">
      <t>ベツ</t>
    </rPh>
    <rPh sb="2" eb="4">
      <t>ウチワケ</t>
    </rPh>
    <phoneticPr fontId="1"/>
  </si>
  <si>
    <t>区別内訳</t>
    <rPh sb="0" eb="1">
      <t>ク</t>
    </rPh>
    <rPh sb="1" eb="2">
      <t>ベツ</t>
    </rPh>
    <rPh sb="2" eb="4">
      <t>ウチワケ</t>
    </rPh>
    <phoneticPr fontId="1"/>
  </si>
  <si>
    <t>４．左の＋ボタンを押すと、区別の内訳が表示されます。（令和３年度分以降）</t>
    <rPh sb="2" eb="3">
      <t>ヒダリ</t>
    </rPh>
    <rPh sb="9" eb="10">
      <t>オ</t>
    </rPh>
    <rPh sb="13" eb="15">
      <t>クベツ</t>
    </rPh>
    <rPh sb="16" eb="18">
      <t>ウチワケ</t>
    </rPh>
    <rPh sb="19" eb="21">
      <t>ヒョウジ</t>
    </rPh>
    <rPh sb="27" eb="29">
      <t>レイワ</t>
    </rPh>
    <rPh sb="30" eb="32">
      <t>ネンド</t>
    </rPh>
    <rPh sb="32" eb="33">
      <t>ブン</t>
    </rPh>
    <rPh sb="33" eb="35">
      <t>イコウ</t>
    </rPh>
    <phoneticPr fontId="2"/>
  </si>
  <si>
    <t>（注）税額は現年度課税分調定額である。</t>
    <rPh sb="1" eb="2">
      <t>チュウ</t>
    </rPh>
    <rPh sb="3" eb="5">
      <t>ゼイガク</t>
    </rPh>
    <rPh sb="6" eb="9">
      <t>ゲンネンド</t>
    </rPh>
    <rPh sb="9" eb="11">
      <t>カゼイ</t>
    </rPh>
    <rPh sb="11" eb="12">
      <t>ブン</t>
    </rPh>
    <rPh sb="12" eb="15">
      <t>チョウテイガク</t>
    </rPh>
    <phoneticPr fontId="1"/>
  </si>
  <si>
    <t>　　 令和３年度に関しては、令和４年度の還付額（1件 71,250円)を含む額を掲載している。</t>
    <rPh sb="3" eb="5">
      <t>レイワ</t>
    </rPh>
    <rPh sb="6" eb="8">
      <t>ネンド</t>
    </rPh>
    <rPh sb="9" eb="10">
      <t>カン</t>
    </rPh>
    <rPh sb="14" eb="16">
      <t>レイワ</t>
    </rPh>
    <rPh sb="17" eb="19">
      <t>ネンド</t>
    </rPh>
    <rPh sb="20" eb="22">
      <t>カンプ</t>
    </rPh>
    <rPh sb="22" eb="23">
      <t>ガク</t>
    </rPh>
    <rPh sb="25" eb="26">
      <t>ケン</t>
    </rPh>
    <rPh sb="36" eb="37">
      <t>フク</t>
    </rPh>
    <rPh sb="38" eb="39">
      <t>ガク</t>
    </rPh>
    <rPh sb="40" eb="42">
      <t>ケイサイ</t>
    </rPh>
    <phoneticPr fontId="1"/>
  </si>
  <si>
    <t>１．本表は3月31日現在において、当年度分について調査したものであり、決算値とは異なる。</t>
  </si>
  <si>
    <t>１．本表は3月31日現在において、当年度分について調査したものであり、決算値とは異なる。</t>
    <rPh sb="35" eb="38">
      <t>ケッサンチ</t>
    </rPh>
    <rPh sb="40" eb="41">
      <t>コト</t>
    </rPh>
    <phoneticPr fontId="1"/>
  </si>
  <si>
    <t>　　　　左の＋ボタンを押すと、課税標準額段階別の内訳が表示されます。（令和４年度分以降）</t>
    <rPh sb="4" eb="5">
      <t>ヒダリ</t>
    </rPh>
    <rPh sb="11" eb="12">
      <t>オ</t>
    </rPh>
    <rPh sb="15" eb="17">
      <t>カゼイ</t>
    </rPh>
    <rPh sb="17" eb="19">
      <t>ヒョウジュン</t>
    </rPh>
    <rPh sb="19" eb="20">
      <t>ガク</t>
    </rPh>
    <rPh sb="20" eb="22">
      <t>ダンカイ</t>
    </rPh>
    <rPh sb="22" eb="23">
      <t>ベツ</t>
    </rPh>
    <rPh sb="24" eb="26">
      <t>ウチワケ</t>
    </rPh>
    <rPh sb="27" eb="29">
      <t>ヒョウジ</t>
    </rPh>
    <rPh sb="35" eb="37">
      <t>レイワ</t>
    </rPh>
    <rPh sb="38" eb="40">
      <t>ネンド</t>
    </rPh>
    <rPh sb="40" eb="41">
      <t>ブン</t>
    </rPh>
    <rPh sb="41" eb="43">
      <t>イコウ</t>
    </rPh>
    <phoneticPr fontId="2"/>
  </si>
  <si>
    <t>令和４年度</t>
    <phoneticPr fontId="2"/>
  </si>
  <si>
    <t>令和５年度</t>
    <rPh sb="0" eb="2">
      <t>レイワ</t>
    </rPh>
    <rPh sb="3" eb="5">
      <t>ネンド</t>
    </rPh>
    <phoneticPr fontId="1"/>
  </si>
  <si>
    <t>令和４年度</t>
    <rPh sb="0" eb="2">
      <t>レイワ</t>
    </rPh>
    <rPh sb="3" eb="5">
      <t>ネンド</t>
    </rPh>
    <rPh sb="4" eb="5">
      <t>ド</t>
    </rPh>
    <phoneticPr fontId="2"/>
  </si>
  <si>
    <t>令和５年度</t>
    <rPh sb="0" eb="2">
      <t>レイワ</t>
    </rPh>
    <rPh sb="3" eb="5">
      <t>ネンド</t>
    </rPh>
    <phoneticPr fontId="15"/>
  </si>
  <si>
    <t>令和５年度</t>
    <rPh sb="0" eb="2">
      <t>レイワ</t>
    </rPh>
    <rPh sb="3" eb="4">
      <t>ネン</t>
    </rPh>
    <rPh sb="4" eb="5">
      <t>ド</t>
    </rPh>
    <phoneticPr fontId="1"/>
  </si>
  <si>
    <t>１．「固定資産概要調書」をもとに、法定免税点以上のものについて記載している。</t>
    <phoneticPr fontId="1"/>
  </si>
  <si>
    <t>２．それぞれ四捨五入しているため、合計が一致しないことがある。</t>
    <phoneticPr fontId="1"/>
  </si>
  <si>
    <t>３．左の＋ボタンを押すと、区別の内訳が表示されます。（令和元年度分以降）</t>
    <rPh sb="2" eb="3">
      <t>ヒダリ</t>
    </rPh>
    <rPh sb="9" eb="10">
      <t>オ</t>
    </rPh>
    <rPh sb="13" eb="15">
      <t>クベツ</t>
    </rPh>
    <rPh sb="16" eb="18">
      <t>ウチワケ</t>
    </rPh>
    <rPh sb="19" eb="21">
      <t>ヒョウジ</t>
    </rPh>
    <rPh sb="27" eb="29">
      <t>レイワ</t>
    </rPh>
    <rPh sb="29" eb="30">
      <t>ガン</t>
    </rPh>
    <rPh sb="30" eb="32">
      <t>ネンド</t>
    </rPh>
    <rPh sb="32" eb="33">
      <t>ブン</t>
    </rPh>
    <rPh sb="33" eb="35">
      <t>イコウ</t>
    </rPh>
    <phoneticPr fontId="2"/>
  </si>
  <si>
    <t>（注）左の＋ボタンを押すと、区別の内訳が表示されます。（令和元年度分以降）</t>
    <rPh sb="1" eb="2">
      <t>チュウ</t>
    </rPh>
    <rPh sb="3" eb="4">
      <t>ヒダリ</t>
    </rPh>
    <rPh sb="10" eb="11">
      <t>オ</t>
    </rPh>
    <rPh sb="14" eb="16">
      <t>クベツ</t>
    </rPh>
    <rPh sb="17" eb="19">
      <t>ウチワケ</t>
    </rPh>
    <rPh sb="20" eb="22">
      <t>ヒョウジ</t>
    </rPh>
    <rPh sb="28" eb="30">
      <t>レイワ</t>
    </rPh>
    <rPh sb="30" eb="31">
      <t>ガン</t>
    </rPh>
    <rPh sb="31" eb="33">
      <t>ネンド</t>
    </rPh>
    <rPh sb="33" eb="34">
      <t>ブン</t>
    </rPh>
    <rPh sb="34" eb="36">
      <t>イコウ</t>
    </rPh>
    <phoneticPr fontId="2"/>
  </si>
  <si>
    <t>１．「固定資産概要調書」をもとに記載している。</t>
    <phoneticPr fontId="1"/>
  </si>
  <si>
    <t>２． 端数処理により、区別の合計値と一致しない場合がある。</t>
    <phoneticPr fontId="1"/>
  </si>
  <si>
    <t>３．「棟数」欄は、「個数」単位である。</t>
    <phoneticPr fontId="1"/>
  </si>
  <si>
    <t>４．左の＋ボタンを押すと、区別の内訳が表示されます。（令和元年度分以降）</t>
    <rPh sb="2" eb="3">
      <t>ヒダリ</t>
    </rPh>
    <rPh sb="9" eb="10">
      <t>オ</t>
    </rPh>
    <rPh sb="13" eb="15">
      <t>クベツ</t>
    </rPh>
    <rPh sb="16" eb="18">
      <t>ウチワケ</t>
    </rPh>
    <rPh sb="19" eb="21">
      <t>ヒョウジ</t>
    </rPh>
    <rPh sb="27" eb="29">
      <t>レイワ</t>
    </rPh>
    <rPh sb="29" eb="30">
      <t>ガン</t>
    </rPh>
    <rPh sb="30" eb="32">
      <t>ネンド</t>
    </rPh>
    <rPh sb="32" eb="33">
      <t>ブン</t>
    </rPh>
    <rPh sb="33" eb="35">
      <t>イコウ</t>
    </rPh>
    <phoneticPr fontId="2"/>
  </si>
  <si>
    <t>２． それぞれ四捨五入しているため、合計が一致しないことがある。</t>
    <rPh sb="7" eb="11">
      <t>シシャゴニュウ</t>
    </rPh>
    <rPh sb="18" eb="20">
      <t>ゴウケイ</t>
    </rPh>
    <rPh sb="21" eb="23">
      <t>イッチ</t>
    </rPh>
    <phoneticPr fontId="1"/>
  </si>
  <si>
    <t>-</t>
    <phoneticPr fontId="1"/>
  </si>
  <si>
    <t>件</t>
  </si>
  <si>
    <t>48</t>
    <phoneticPr fontId="1"/>
  </si>
  <si>
    <t>令和５年度</t>
    <phoneticPr fontId="2"/>
  </si>
  <si>
    <t>令和６年度</t>
    <rPh sb="0" eb="2">
      <t>レイワ</t>
    </rPh>
    <rPh sb="3" eb="5">
      <t>ネンド</t>
    </rPh>
    <phoneticPr fontId="1"/>
  </si>
  <si>
    <t>令和５年度</t>
    <rPh sb="0" eb="2">
      <t>レイワ</t>
    </rPh>
    <rPh sb="3" eb="5">
      <t>ネンド</t>
    </rPh>
    <rPh sb="4" eb="5">
      <t>ド</t>
    </rPh>
    <phoneticPr fontId="2"/>
  </si>
  <si>
    <t>令和６年度</t>
    <rPh sb="0" eb="2">
      <t>レイワ</t>
    </rPh>
    <rPh sb="3" eb="5">
      <t>ネンド</t>
    </rPh>
    <phoneticPr fontId="15"/>
  </si>
  <si>
    <t>令和６年度</t>
    <rPh sb="0" eb="2">
      <t>レイワ</t>
    </rPh>
    <rPh sb="3" eb="4">
      <t>ネン</t>
    </rPh>
    <rPh sb="4" eb="5">
      <t>ド</t>
    </rPh>
    <phoneticPr fontId="1"/>
  </si>
  <si>
    <t>48</t>
    <phoneticPr fontId="1"/>
  </si>
  <si>
    <t>定格出力　600W超　800W以下</t>
    <rPh sb="0" eb="2">
      <t>テイカク</t>
    </rPh>
    <rPh sb="2" eb="4">
      <t>シュツリョク</t>
    </rPh>
    <rPh sb="9" eb="10">
      <t>コ</t>
    </rPh>
    <phoneticPr fontId="2"/>
  </si>
  <si>
    <t>定格出力　800W超　1000W以下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</si>
</sst>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0\)"/>
    <numFmt numFmtId="177" formatCode="#,##0_ "/>
    <numFmt numFmtId="178" formatCode="#,##0.0_);\(#,##0.0\)"/>
    <numFmt numFmtId="179" formatCode="#,##0_);[Red]\(#,##0\)"/>
    <numFmt numFmtId="180" formatCode="#,##0;&quot;△ &quot;#,##0"/>
    <numFmt numFmtId="181" formatCode="\(#,##0\);\(&quot;△ &quot;#,##0\)"/>
    <numFmt numFmtId="182" formatCode="#,##0.0;&quot;△ &quot;#,##0.0"/>
    <numFmt numFmtId="183" formatCode="#,##0.0;\(&quot;△ &quot;#,##0.0\)"/>
    <numFmt numFmtId="184" formatCode="#,##0_ ;[Red]\-#,##0\ "/>
    <numFmt numFmtId="185" formatCode="#,##0.0_ "/>
    <numFmt numFmtId="186" formatCode="0.0;&quot;△ &quot;0.0"/>
    <numFmt numFmtId="187" formatCode="#,##0.0;[Red]\-#,##0.0"/>
  </numFmts>
  <fonts count="25" x14ac:knownFonts="1">
    <font>
      <sz val="11"/>
      <color theme="1"/>
      <name val="游ゴシック"/>
      <family val="2"/>
      <scheme val="minor"/>
    </font>
    <font>
      <sz val="6"/>
      <name val="游ゴシック"/>
      <family val="3"/>
      <charset val="128"/>
      <scheme val="minor"/>
    </font>
    <font>
      <sz val="6"/>
      <name val="ＭＳ Ｐ明朝"/>
      <family val="1"/>
      <charset val="128"/>
    </font>
    <font>
      <sz val="11"/>
      <color theme="1"/>
      <name val="Arial"/>
      <family val="2"/>
    </font>
    <font>
      <sz val="11"/>
      <name val="Arial"/>
      <family val="2"/>
    </font>
    <font>
      <sz val="11"/>
      <color theme="1"/>
      <name val="UD デジタル 教科書体 N-R"/>
      <family val="1"/>
      <charset val="128"/>
    </font>
    <font>
      <sz val="11"/>
      <name val="UD デジタル 教科書体 N-R"/>
      <family val="1"/>
      <charset val="128"/>
    </font>
    <font>
      <sz val="14"/>
      <color theme="1"/>
      <name val="Arial"/>
      <family val="2"/>
    </font>
    <font>
      <sz val="14"/>
      <color theme="1"/>
      <name val="UD デジタル 教科書体 N-R"/>
      <family val="1"/>
      <charset val="128"/>
    </font>
    <font>
      <sz val="11"/>
      <color indexed="8"/>
      <name val="Arial"/>
      <family val="2"/>
    </font>
    <font>
      <sz val="8"/>
      <color indexed="8"/>
      <name val="ＭＳ Ｐ明朝"/>
      <family val="1"/>
      <charset val="128"/>
    </font>
    <font>
      <sz val="8"/>
      <name val="ＭＳ Ｐ明朝"/>
      <family val="1"/>
      <charset val="128"/>
    </font>
    <font>
      <b/>
      <sz val="8"/>
      <name val="ＭＳ Ｐゴシック"/>
      <family val="3"/>
      <charset val="128"/>
    </font>
    <font>
      <sz val="11"/>
      <color theme="1"/>
      <name val="游ゴシック"/>
      <family val="2"/>
      <scheme val="minor"/>
    </font>
    <font>
      <b/>
      <sz val="8"/>
      <color indexed="8"/>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1"/>
      <color theme="1"/>
      <name val="UD デジタル 教科書体 NP-R"/>
      <family val="1"/>
      <charset val="128"/>
    </font>
    <font>
      <sz val="11"/>
      <color theme="1"/>
      <name val="ＭＳ Ｐゴシック"/>
      <family val="3"/>
      <charset val="128"/>
    </font>
    <font>
      <sz val="11"/>
      <color theme="1"/>
      <name val="游ゴシック"/>
      <family val="2"/>
    </font>
    <font>
      <sz val="11"/>
      <name val="ＭＳ Ｐゴシック"/>
      <family val="3"/>
      <charset val="128"/>
    </font>
    <font>
      <sz val="11"/>
      <name val="ＭＳ 明朝"/>
      <family val="1"/>
      <charset val="128"/>
    </font>
    <font>
      <u/>
      <sz val="11"/>
      <color theme="10"/>
      <name val="游ゴシック"/>
      <family val="2"/>
      <scheme val="minor"/>
    </font>
    <font>
      <u/>
      <sz val="11"/>
      <color theme="10"/>
      <name val="UD デジタル 教科書体 N-R"/>
      <family val="1"/>
      <charset val="128"/>
    </font>
  </fonts>
  <fills count="6">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CCECFF"/>
        <bgColor indexed="64"/>
      </patternFill>
    </fill>
    <fill>
      <patternFill patternType="solid">
        <fgColor rgb="FFFFCCFF"/>
        <bgColor indexed="64"/>
      </patternFill>
    </fill>
  </fills>
  <borders count="76">
    <border>
      <left/>
      <right/>
      <top/>
      <bottom/>
      <diagonal/>
    </border>
    <border>
      <left style="thin">
        <color indexed="64"/>
      </left>
      <right/>
      <top/>
      <bottom style="hair">
        <color indexed="64"/>
      </bottom>
      <diagonal/>
    </border>
    <border>
      <left/>
      <right/>
      <top/>
      <bottom style="hair">
        <color indexed="64"/>
      </bottom>
      <diagonal/>
    </border>
    <border>
      <left/>
      <right/>
      <top/>
      <bottom style="thin">
        <color indexed="64"/>
      </bottom>
      <diagonal/>
    </border>
    <border>
      <left/>
      <right/>
      <top style="hair">
        <color auto="1"/>
      </top>
      <bottom style="hair">
        <color auto="1"/>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top/>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style="hair">
        <color indexed="64"/>
      </left>
      <right/>
      <top style="double">
        <color indexed="64"/>
      </top>
      <bottom style="thin">
        <color indexed="64"/>
      </bottom>
      <diagonal/>
    </border>
  </borders>
  <cellStyleXfs count="5">
    <xf numFmtId="0" fontId="0" fillId="0" borderId="0"/>
    <xf numFmtId="38" fontId="13" fillId="0" borderId="0" applyFont="0" applyFill="0" applyBorder="0" applyAlignment="0" applyProtection="0">
      <alignment vertical="center"/>
    </xf>
    <xf numFmtId="0" fontId="16" fillId="0" borderId="0"/>
    <xf numFmtId="0" fontId="21" fillId="0" borderId="0"/>
    <xf numFmtId="0" fontId="23" fillId="0" borderId="0" applyNumberFormat="0" applyFill="0" applyBorder="0" applyAlignment="0" applyProtection="0"/>
  </cellStyleXfs>
  <cellXfs count="822">
    <xf numFmtId="0" fontId="0" fillId="0" borderId="0" xfId="0"/>
    <xf numFmtId="0" fontId="3" fillId="0" borderId="0" xfId="0" applyFont="1" applyFill="1" applyBorder="1"/>
    <xf numFmtId="0" fontId="3"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alignment horizontal="center"/>
    </xf>
    <xf numFmtId="0" fontId="5" fillId="0" borderId="0" xfId="0" applyFont="1" applyFill="1" applyBorder="1"/>
    <xf numFmtId="0" fontId="8" fillId="0" borderId="0" xfId="0" applyFont="1" applyFill="1" applyBorder="1" applyAlignment="1">
      <alignment horizontal="left"/>
    </xf>
    <xf numFmtId="0" fontId="7" fillId="0" borderId="0" xfId="0" applyFont="1" applyFill="1" applyBorder="1" applyAlignment="1">
      <alignment horizontal="center"/>
    </xf>
    <xf numFmtId="0" fontId="7" fillId="0" borderId="0" xfId="0" applyFont="1" applyFill="1" applyBorder="1"/>
    <xf numFmtId="0" fontId="5" fillId="0" borderId="0" xfId="0" applyFont="1" applyBorder="1" applyAlignment="1">
      <alignment vertical="center"/>
    </xf>
    <xf numFmtId="0" fontId="5" fillId="0" borderId="0" xfId="0" applyFont="1" applyBorder="1" applyAlignment="1">
      <alignment horizontal="center" vertical="center"/>
    </xf>
    <xf numFmtId="176" fontId="4" fillId="0" borderId="2"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5" xfId="0" applyNumberFormat="1" applyFont="1" applyFill="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wrapText="1"/>
    </xf>
    <xf numFmtId="0" fontId="6" fillId="0" borderId="0" xfId="0" applyFont="1" applyAlignment="1">
      <alignment vertical="center"/>
    </xf>
    <xf numFmtId="176" fontId="11"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176" fontId="9" fillId="0" borderId="4" xfId="0" applyNumberFormat="1" applyFont="1" applyFill="1" applyBorder="1" applyAlignment="1">
      <alignment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vertical="center"/>
    </xf>
    <xf numFmtId="0" fontId="5" fillId="0" borderId="0" xfId="0" applyFont="1" applyFill="1" applyBorder="1" applyAlignment="1">
      <alignment horizontal="center" vertical="center" wrapText="1"/>
    </xf>
    <xf numFmtId="178" fontId="10" fillId="0" borderId="0" xfId="0" applyNumberFormat="1" applyFont="1" applyFill="1" applyAlignment="1">
      <alignment vertical="center"/>
    </xf>
    <xf numFmtId="178" fontId="14" fillId="0" borderId="0" xfId="0" applyNumberFormat="1" applyFont="1" applyFill="1" applyAlignment="1">
      <alignment vertical="center"/>
    </xf>
    <xf numFmtId="177" fontId="9" fillId="0" borderId="4" xfId="0" applyNumberFormat="1"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distributed" vertical="center"/>
    </xf>
    <xf numFmtId="177" fontId="4" fillId="0" borderId="0" xfId="0" applyNumberFormat="1" applyFont="1" applyFill="1" applyBorder="1"/>
    <xf numFmtId="0" fontId="5" fillId="0" borderId="12"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0" applyFont="1" applyFill="1" applyBorder="1" applyAlignment="1">
      <alignment horizontal="distributed"/>
    </xf>
    <xf numFmtId="179" fontId="4" fillId="0" borderId="4" xfId="0" applyNumberFormat="1" applyFont="1" applyFill="1" applyBorder="1" applyAlignment="1">
      <alignment vertical="center"/>
    </xf>
    <xf numFmtId="179" fontId="4" fillId="0" borderId="0" xfId="0" applyNumberFormat="1" applyFont="1" applyFill="1" applyBorder="1" applyAlignment="1"/>
    <xf numFmtId="179" fontId="4"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applyBorder="1" applyAlignment="1">
      <alignment horizontal="left"/>
    </xf>
    <xf numFmtId="0" fontId="6" fillId="0" borderId="0" xfId="0" applyFont="1" applyFill="1" applyBorder="1" applyAlignment="1">
      <alignment horizontal="left" vertical="center" wrapText="1"/>
    </xf>
    <xf numFmtId="179"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179" fontId="6" fillId="2" borderId="8" xfId="0" applyNumberFormat="1" applyFont="1" applyFill="1" applyBorder="1" applyAlignment="1">
      <alignment horizontal="center" vertical="center" wrapText="1"/>
    </xf>
    <xf numFmtId="180" fontId="4" fillId="0" borderId="1" xfId="1" applyNumberFormat="1" applyFont="1" applyFill="1" applyBorder="1" applyAlignment="1">
      <alignment vertical="center"/>
    </xf>
    <xf numFmtId="180" fontId="4" fillId="0" borderId="38" xfId="1" applyNumberFormat="1" applyFont="1" applyFill="1" applyBorder="1" applyAlignment="1">
      <alignment vertical="center"/>
    </xf>
    <xf numFmtId="180" fontId="4" fillId="0" borderId="5" xfId="1" applyNumberFormat="1" applyFont="1" applyFill="1" applyBorder="1" applyAlignment="1">
      <alignment vertical="center"/>
    </xf>
    <xf numFmtId="180" fontId="4" fillId="0" borderId="30" xfId="1" applyNumberFormat="1" applyFont="1" applyFill="1" applyBorder="1" applyAlignment="1">
      <alignment vertical="center"/>
    </xf>
    <xf numFmtId="180" fontId="4" fillId="0" borderId="32" xfId="1" applyNumberFormat="1" applyFont="1" applyFill="1" applyBorder="1" applyAlignment="1">
      <alignment vertical="center"/>
    </xf>
    <xf numFmtId="180" fontId="4" fillId="0" borderId="33" xfId="1" applyNumberFormat="1" applyFont="1" applyFill="1" applyBorder="1" applyAlignment="1">
      <alignment vertical="center"/>
    </xf>
    <xf numFmtId="180" fontId="4" fillId="0" borderId="2" xfId="1" applyNumberFormat="1" applyFont="1" applyFill="1" applyBorder="1" applyAlignment="1">
      <alignment vertical="center"/>
    </xf>
    <xf numFmtId="181" fontId="4" fillId="0" borderId="2" xfId="1" applyNumberFormat="1" applyFont="1" applyFill="1" applyBorder="1" applyAlignment="1">
      <alignment vertical="center"/>
    </xf>
    <xf numFmtId="180" fontId="4" fillId="0" borderId="4" xfId="1" applyNumberFormat="1" applyFont="1" applyFill="1" applyBorder="1" applyAlignment="1">
      <alignment vertical="center"/>
    </xf>
    <xf numFmtId="181" fontId="4" fillId="0" borderId="4" xfId="1" applyNumberFormat="1" applyFont="1" applyFill="1" applyBorder="1" applyAlignment="1">
      <alignment vertical="center"/>
    </xf>
    <xf numFmtId="180" fontId="4" fillId="0" borderId="11" xfId="1" applyNumberFormat="1" applyFont="1" applyFill="1" applyBorder="1" applyAlignment="1">
      <alignment vertical="center"/>
    </xf>
    <xf numFmtId="181" fontId="4" fillId="0" borderId="11" xfId="1" applyNumberFormat="1" applyFont="1" applyFill="1" applyBorder="1" applyAlignment="1">
      <alignment vertical="center"/>
    </xf>
    <xf numFmtId="0" fontId="6" fillId="0" borderId="4" xfId="2" applyNumberFormat="1" applyFont="1" applyFill="1" applyBorder="1" applyAlignment="1">
      <alignment horizontal="left" vertical="center" wrapText="1"/>
    </xf>
    <xf numFmtId="0" fontId="6" fillId="0" borderId="4" xfId="2" applyNumberFormat="1" applyFont="1" applyFill="1" applyBorder="1" applyAlignment="1">
      <alignment horizontal="left" vertical="center"/>
    </xf>
    <xf numFmtId="177" fontId="4" fillId="0" borderId="4" xfId="2" applyNumberFormat="1" applyFont="1" applyFill="1" applyBorder="1" applyAlignment="1">
      <alignment vertical="center"/>
    </xf>
    <xf numFmtId="177" fontId="4" fillId="0" borderId="2" xfId="2" applyNumberFormat="1" applyFont="1" applyFill="1" applyBorder="1" applyAlignment="1">
      <alignment vertical="center"/>
    </xf>
    <xf numFmtId="177" fontId="4" fillId="0" borderId="13" xfId="2" applyNumberFormat="1" applyFont="1" applyFill="1" applyBorder="1" applyAlignment="1">
      <alignment vertical="center"/>
    </xf>
    <xf numFmtId="177" fontId="4" fillId="0" borderId="28" xfId="2" applyNumberFormat="1" applyFont="1" applyFill="1" applyBorder="1" applyAlignment="1">
      <alignment vertical="center"/>
    </xf>
    <xf numFmtId="177" fontId="4" fillId="0" borderId="30" xfId="2" applyNumberFormat="1" applyFont="1" applyFill="1" applyBorder="1" applyAlignment="1">
      <alignment vertical="center"/>
    </xf>
    <xf numFmtId="177" fontId="4" fillId="0" borderId="11" xfId="2" applyNumberFormat="1" applyFont="1" applyFill="1" applyBorder="1" applyAlignment="1">
      <alignment vertical="center"/>
    </xf>
    <xf numFmtId="177" fontId="4" fillId="0" borderId="33" xfId="2" applyNumberFormat="1" applyFont="1" applyFill="1" applyBorder="1" applyAlignment="1">
      <alignment vertical="center"/>
    </xf>
    <xf numFmtId="177" fontId="4" fillId="0" borderId="3" xfId="2" applyNumberFormat="1" applyFont="1" applyFill="1" applyBorder="1" applyAlignment="1">
      <alignment vertical="center"/>
    </xf>
    <xf numFmtId="177" fontId="4" fillId="0" borderId="21" xfId="2" applyNumberFormat="1" applyFont="1" applyFill="1" applyBorder="1" applyAlignment="1">
      <alignment vertical="center"/>
    </xf>
    <xf numFmtId="177" fontId="4" fillId="0" borderId="14" xfId="2" applyNumberFormat="1" applyFont="1" applyFill="1" applyBorder="1" applyAlignment="1">
      <alignment vertical="center"/>
    </xf>
    <xf numFmtId="177" fontId="4" fillId="0" borderId="15" xfId="2" applyNumberFormat="1" applyFont="1" applyFill="1" applyBorder="1" applyAlignment="1">
      <alignment vertical="center"/>
    </xf>
    <xf numFmtId="0" fontId="6" fillId="0" borderId="14" xfId="2" applyNumberFormat="1" applyFont="1" applyFill="1" applyBorder="1" applyAlignment="1">
      <alignment horizontal="left" vertical="center" wrapText="1"/>
    </xf>
    <xf numFmtId="0" fontId="6" fillId="0" borderId="14" xfId="2" applyNumberFormat="1" applyFont="1" applyFill="1" applyBorder="1" applyAlignment="1">
      <alignment horizontal="left" vertical="center"/>
    </xf>
    <xf numFmtId="177" fontId="4" fillId="0" borderId="45" xfId="2" applyNumberFormat="1" applyFont="1" applyFill="1" applyBorder="1" applyAlignment="1">
      <alignment vertical="center"/>
    </xf>
    <xf numFmtId="177" fontId="4" fillId="0" borderId="46" xfId="2" applyNumberFormat="1" applyFont="1" applyFill="1" applyBorder="1" applyAlignment="1">
      <alignment vertical="center"/>
    </xf>
    <xf numFmtId="177" fontId="4" fillId="0" borderId="38" xfId="2" applyNumberFormat="1" applyFont="1" applyFill="1" applyBorder="1" applyAlignment="1">
      <alignment vertical="center"/>
    </xf>
    <xf numFmtId="177" fontId="4" fillId="0" borderId="32" xfId="2" applyNumberFormat="1" applyFont="1" applyFill="1" applyBorder="1" applyAlignment="1">
      <alignment vertical="center"/>
    </xf>
    <xf numFmtId="177" fontId="4" fillId="0" borderId="48" xfId="2" applyNumberFormat="1" applyFont="1" applyFill="1" applyBorder="1" applyAlignment="1">
      <alignment vertical="center"/>
    </xf>
    <xf numFmtId="177" fontId="4" fillId="0" borderId="49" xfId="2" applyNumberFormat="1" applyFont="1" applyFill="1" applyBorder="1" applyAlignment="1">
      <alignment vertical="center"/>
    </xf>
    <xf numFmtId="177" fontId="4" fillId="0" borderId="50" xfId="2" applyNumberFormat="1" applyFont="1" applyFill="1" applyBorder="1" applyAlignment="1">
      <alignment vertical="center"/>
    </xf>
    <xf numFmtId="3" fontId="4" fillId="0" borderId="13" xfId="2" applyNumberFormat="1" applyFont="1" applyFill="1" applyBorder="1" applyAlignment="1">
      <alignment vertical="center"/>
    </xf>
    <xf numFmtId="3" fontId="4" fillId="0" borderId="4" xfId="2" applyNumberFormat="1" applyFont="1" applyFill="1" applyBorder="1" applyAlignment="1">
      <alignment vertical="center"/>
    </xf>
    <xf numFmtId="3" fontId="4" fillId="0" borderId="28" xfId="2" applyNumberFormat="1" applyFont="1" applyFill="1" applyBorder="1" applyAlignment="1">
      <alignment vertical="center"/>
    </xf>
    <xf numFmtId="3" fontId="4" fillId="0" borderId="30" xfId="2" applyNumberFormat="1" applyFont="1" applyFill="1" applyBorder="1" applyAlignment="1">
      <alignment vertical="center"/>
    </xf>
    <xf numFmtId="3" fontId="4" fillId="0" borderId="27" xfId="2" applyNumberFormat="1" applyFont="1" applyFill="1" applyBorder="1" applyAlignment="1">
      <alignment vertical="center"/>
    </xf>
    <xf numFmtId="3" fontId="4" fillId="0" borderId="5" xfId="2" applyNumberFormat="1" applyFont="1" applyFill="1" applyBorder="1" applyAlignment="1">
      <alignment vertical="center"/>
    </xf>
    <xf numFmtId="3" fontId="4" fillId="0" borderId="1" xfId="2" applyNumberFormat="1" applyFont="1" applyFill="1" applyBorder="1" applyAlignment="1">
      <alignment vertical="center"/>
    </xf>
    <xf numFmtId="3" fontId="4" fillId="0" borderId="2" xfId="2" applyNumberFormat="1" applyFont="1" applyFill="1" applyBorder="1" applyAlignment="1">
      <alignment vertical="center"/>
    </xf>
    <xf numFmtId="3" fontId="4" fillId="0" borderId="38" xfId="2" applyNumberFormat="1" applyFont="1" applyFill="1" applyBorder="1" applyAlignment="1">
      <alignment vertical="center"/>
    </xf>
    <xf numFmtId="3" fontId="4" fillId="0" borderId="40" xfId="2" applyNumberFormat="1" applyFont="1" applyFill="1" applyBorder="1" applyAlignment="1">
      <alignment vertical="center"/>
    </xf>
    <xf numFmtId="3" fontId="4" fillId="0" borderId="14" xfId="2" applyNumberFormat="1" applyFont="1" applyFill="1" applyBorder="1" applyAlignment="1">
      <alignment vertical="center"/>
    </xf>
    <xf numFmtId="3" fontId="4" fillId="0" borderId="15" xfId="2" applyNumberFormat="1" applyFont="1" applyFill="1" applyBorder="1" applyAlignment="1">
      <alignment vertical="center"/>
    </xf>
    <xf numFmtId="3" fontId="4" fillId="0" borderId="49" xfId="2" applyNumberFormat="1" applyFont="1" applyFill="1" applyBorder="1" applyAlignment="1">
      <alignment vertical="center"/>
    </xf>
    <xf numFmtId="3" fontId="4" fillId="0" borderId="50" xfId="2" applyNumberFormat="1" applyFont="1" applyFill="1" applyBorder="1" applyAlignment="1">
      <alignment vertical="center"/>
    </xf>
    <xf numFmtId="3" fontId="4" fillId="0" borderId="3" xfId="2" applyNumberFormat="1" applyFont="1" applyFill="1" applyBorder="1" applyAlignment="1">
      <alignment vertical="center"/>
    </xf>
    <xf numFmtId="3" fontId="4" fillId="0" borderId="44" xfId="2" applyNumberFormat="1" applyFont="1" applyFill="1" applyBorder="1" applyAlignment="1">
      <alignment vertical="center"/>
    </xf>
    <xf numFmtId="3" fontId="4" fillId="0" borderId="45" xfId="2" applyNumberFormat="1" applyFont="1" applyFill="1" applyBorder="1" applyAlignment="1">
      <alignment vertical="center"/>
    </xf>
    <xf numFmtId="3" fontId="4" fillId="0" borderId="46" xfId="2" applyNumberFormat="1" applyFont="1" applyFill="1" applyBorder="1" applyAlignment="1">
      <alignment vertical="center"/>
    </xf>
    <xf numFmtId="38" fontId="4" fillId="0" borderId="13" xfId="1" applyFont="1" applyFill="1" applyBorder="1" applyAlignment="1">
      <alignment vertical="center"/>
    </xf>
    <xf numFmtId="38" fontId="4" fillId="0" borderId="4" xfId="1" applyFont="1" applyFill="1" applyBorder="1" applyAlignment="1">
      <alignment vertical="center"/>
    </xf>
    <xf numFmtId="38" fontId="4" fillId="0" borderId="11" xfId="1" applyFont="1" applyFill="1" applyBorder="1" applyAlignment="1">
      <alignment vertical="center"/>
    </xf>
    <xf numFmtId="0" fontId="6" fillId="0" borderId="30" xfId="2" applyNumberFormat="1" applyFont="1" applyFill="1" applyBorder="1" applyAlignment="1">
      <alignment horizontal="left" vertical="center" wrapText="1"/>
    </xf>
    <xf numFmtId="0" fontId="6" fillId="0" borderId="15" xfId="2" applyNumberFormat="1" applyFont="1" applyFill="1" applyBorder="1" applyAlignment="1">
      <alignment horizontal="left" vertical="center" wrapText="1"/>
    </xf>
    <xf numFmtId="0" fontId="6" fillId="0" borderId="30" xfId="2" applyNumberFormat="1" applyFont="1" applyFill="1" applyBorder="1" applyAlignment="1">
      <alignment horizontal="left" vertical="center"/>
    </xf>
    <xf numFmtId="0" fontId="6" fillId="0" borderId="15" xfId="2" applyNumberFormat="1" applyFont="1" applyFill="1" applyBorder="1" applyAlignment="1">
      <alignment horizontal="left" vertical="center"/>
    </xf>
    <xf numFmtId="38" fontId="4" fillId="0" borderId="2" xfId="1" applyFont="1" applyFill="1" applyBorder="1" applyAlignment="1">
      <alignment vertical="center"/>
    </xf>
    <xf numFmtId="38" fontId="4" fillId="0" borderId="48" xfId="1" applyFont="1" applyFill="1" applyBorder="1" applyAlignment="1">
      <alignment vertical="center"/>
    </xf>
    <xf numFmtId="38" fontId="4" fillId="0" borderId="3" xfId="1" applyFont="1" applyFill="1" applyBorder="1" applyAlignment="1">
      <alignment vertical="center"/>
    </xf>
    <xf numFmtId="0" fontId="19" fillId="0" borderId="0" xfId="0" applyFont="1" applyFill="1" applyBorder="1"/>
    <xf numFmtId="180" fontId="4" fillId="0" borderId="2" xfId="0" applyNumberFormat="1" applyFont="1" applyFill="1" applyBorder="1" applyAlignment="1">
      <alignment horizontal="right" vertical="center"/>
    </xf>
    <xf numFmtId="180" fontId="4" fillId="0" borderId="17" xfId="0" applyNumberFormat="1" applyFont="1" applyFill="1" applyBorder="1" applyAlignment="1">
      <alignment horizontal="right" vertical="center"/>
    </xf>
    <xf numFmtId="180" fontId="4" fillId="0" borderId="16" xfId="0" applyNumberFormat="1" applyFont="1" applyFill="1" applyBorder="1" applyAlignment="1">
      <alignment horizontal="right" vertical="center"/>
    </xf>
    <xf numFmtId="180" fontId="4" fillId="0" borderId="18" xfId="0" applyNumberFormat="1" applyFont="1" applyFill="1" applyBorder="1" applyAlignment="1">
      <alignment horizontal="right" vertical="center"/>
    </xf>
    <xf numFmtId="180" fontId="4" fillId="0" borderId="38" xfId="0" applyNumberFormat="1" applyFont="1" applyFill="1" applyBorder="1" applyAlignment="1">
      <alignment horizontal="right" vertical="center"/>
    </xf>
    <xf numFmtId="180" fontId="4" fillId="0" borderId="1" xfId="0" applyNumberFormat="1" applyFont="1" applyFill="1" applyBorder="1" applyAlignment="1">
      <alignment horizontal="right" vertical="center"/>
    </xf>
    <xf numFmtId="180" fontId="4" fillId="0" borderId="28" xfId="0" applyNumberFormat="1" applyFont="1" applyFill="1" applyBorder="1" applyAlignment="1">
      <alignment horizontal="right" vertical="center"/>
    </xf>
    <xf numFmtId="180" fontId="4" fillId="0" borderId="30" xfId="0" applyNumberFormat="1" applyFont="1" applyFill="1" applyBorder="1" applyAlignment="1">
      <alignment horizontal="right" vertical="center"/>
    </xf>
    <xf numFmtId="180" fontId="4" fillId="0" borderId="5" xfId="0" applyNumberFormat="1" applyFont="1" applyFill="1" applyBorder="1" applyAlignment="1">
      <alignment horizontal="right" vertical="center"/>
    </xf>
    <xf numFmtId="0" fontId="6" fillId="0" borderId="3" xfId="0" applyFont="1" applyFill="1" applyBorder="1" applyAlignment="1">
      <alignment vertical="center" shrinkToFit="1"/>
    </xf>
    <xf numFmtId="0" fontId="6" fillId="0" borderId="3" xfId="0" applyFont="1" applyFill="1" applyBorder="1" applyAlignment="1">
      <alignment vertical="center"/>
    </xf>
    <xf numFmtId="180" fontId="6" fillId="0" borderId="21" xfId="0" applyNumberFormat="1" applyFont="1" applyFill="1" applyBorder="1" applyAlignment="1">
      <alignment horizontal="right" vertical="center"/>
    </xf>
    <xf numFmtId="0" fontId="6" fillId="0" borderId="20" xfId="0" applyFont="1" applyFill="1" applyBorder="1" applyAlignment="1">
      <alignment vertical="center" shrinkToFit="1"/>
    </xf>
    <xf numFmtId="0" fontId="6" fillId="0" borderId="21" xfId="0" applyFont="1" applyFill="1" applyBorder="1" applyAlignment="1">
      <alignment vertical="center" shrinkToFit="1"/>
    </xf>
    <xf numFmtId="0" fontId="6" fillId="0" borderId="20" xfId="0" applyFont="1" applyFill="1" applyBorder="1" applyAlignment="1">
      <alignment vertical="center"/>
    </xf>
    <xf numFmtId="0" fontId="4" fillId="0" borderId="1" xfId="0" applyFont="1" applyFill="1" applyBorder="1" applyAlignment="1">
      <alignment vertical="center"/>
    </xf>
    <xf numFmtId="182" fontId="4" fillId="0" borderId="2" xfId="0" applyNumberFormat="1" applyFont="1" applyFill="1" applyBorder="1" applyAlignment="1">
      <alignment horizontal="right" vertical="center"/>
    </xf>
    <xf numFmtId="183" fontId="4" fillId="0" borderId="33" xfId="0" applyNumberFormat="1" applyFont="1" applyFill="1" applyBorder="1" applyAlignment="1">
      <alignment horizontal="right" vertical="center"/>
    </xf>
    <xf numFmtId="182" fontId="4" fillId="0" borderId="32" xfId="0" applyNumberFormat="1" applyFont="1" applyFill="1" applyBorder="1" applyAlignment="1">
      <alignment horizontal="right" vertical="center"/>
    </xf>
    <xf numFmtId="182" fontId="4" fillId="0" borderId="11" xfId="0" applyNumberFormat="1" applyFont="1" applyFill="1" applyBorder="1" applyAlignment="1">
      <alignment horizontal="right" vertical="center"/>
    </xf>
    <xf numFmtId="180" fontId="4" fillId="0" borderId="27" xfId="0" applyNumberFormat="1" applyFont="1" applyFill="1" applyBorder="1" applyAlignment="1">
      <alignment horizontal="right" vertical="center"/>
    </xf>
    <xf numFmtId="0" fontId="5" fillId="0" borderId="13" xfId="0" applyFont="1" applyFill="1" applyBorder="1" applyAlignment="1">
      <alignment vertical="center" shrinkToFit="1"/>
    </xf>
    <xf numFmtId="0" fontId="6" fillId="0" borderId="13" xfId="0" applyFont="1" applyFill="1" applyBorder="1" applyAlignment="1">
      <alignment vertical="center" shrinkToFit="1"/>
    </xf>
    <xf numFmtId="0" fontId="5" fillId="0" borderId="4" xfId="0" applyFont="1" applyFill="1" applyBorder="1" applyAlignment="1">
      <alignment vertical="center" shrinkToFit="1"/>
    </xf>
    <xf numFmtId="0" fontId="6" fillId="0" borderId="4" xfId="0" applyFont="1" applyFill="1" applyBorder="1" applyAlignment="1">
      <alignment vertical="center" shrinkToFit="1"/>
    </xf>
    <xf numFmtId="180" fontId="4" fillId="0" borderId="5" xfId="0" applyNumberFormat="1" applyFont="1" applyFill="1" applyBorder="1" applyAlignment="1">
      <alignment horizontal="right" vertical="center" shrinkToFit="1"/>
    </xf>
    <xf numFmtId="180" fontId="4" fillId="0" borderId="30" xfId="0" applyNumberFormat="1" applyFont="1" applyFill="1" applyBorder="1" applyAlignment="1">
      <alignment horizontal="right" vertical="center" shrinkToFit="1"/>
    </xf>
    <xf numFmtId="180" fontId="4" fillId="0" borderId="4" xfId="0" applyNumberFormat="1" applyFont="1" applyFill="1" applyBorder="1" applyAlignment="1">
      <alignment horizontal="right" vertical="center" shrinkToFit="1"/>
    </xf>
    <xf numFmtId="182" fontId="4" fillId="0" borderId="32" xfId="0" applyNumberFormat="1" applyFont="1" applyFill="1" applyBorder="1" applyAlignment="1">
      <alignment horizontal="right" vertical="center" shrinkToFit="1"/>
    </xf>
    <xf numFmtId="182" fontId="4" fillId="0" borderId="11" xfId="0" applyNumberFormat="1" applyFont="1" applyFill="1" applyBorder="1" applyAlignment="1">
      <alignment horizontal="right" vertical="center" shrinkToFit="1"/>
    </xf>
    <xf numFmtId="182" fontId="4" fillId="0" borderId="33" xfId="0" applyNumberFormat="1" applyFont="1" applyFill="1" applyBorder="1" applyAlignment="1">
      <alignment horizontal="right" vertical="center" shrinkToFit="1"/>
    </xf>
    <xf numFmtId="180" fontId="4" fillId="0" borderId="1" xfId="0" applyNumberFormat="1" applyFont="1" applyFill="1" applyBorder="1" applyAlignment="1">
      <alignment horizontal="right" vertical="center" shrinkToFit="1"/>
    </xf>
    <xf numFmtId="0" fontId="6" fillId="0" borderId="2" xfId="0" applyFont="1" applyFill="1" applyBorder="1" applyAlignment="1">
      <alignment vertical="center" shrinkToFit="1"/>
    </xf>
    <xf numFmtId="180" fontId="4" fillId="0" borderId="38" xfId="0" applyNumberFormat="1" applyFont="1" applyFill="1" applyBorder="1" applyAlignment="1">
      <alignment horizontal="right" vertical="center" shrinkToFit="1"/>
    </xf>
    <xf numFmtId="38" fontId="4" fillId="0" borderId="1" xfId="1" applyFont="1" applyFill="1" applyBorder="1" applyAlignment="1">
      <alignment horizontal="right" vertical="center" shrinkToFit="1"/>
    </xf>
    <xf numFmtId="180" fontId="4" fillId="0" borderId="40" xfId="0" applyNumberFormat="1" applyFont="1" applyFill="1" applyBorder="1" applyAlignment="1">
      <alignment horizontal="right" vertical="center" shrinkToFit="1"/>
    </xf>
    <xf numFmtId="0" fontId="5" fillId="0" borderId="14" xfId="0" applyFont="1" applyFill="1" applyBorder="1" applyAlignment="1">
      <alignment vertical="center" shrinkToFit="1"/>
    </xf>
    <xf numFmtId="180" fontId="3" fillId="0" borderId="15" xfId="0" applyNumberFormat="1" applyFont="1" applyFill="1" applyBorder="1" applyAlignment="1">
      <alignment horizontal="right" vertical="center" shrinkToFit="1"/>
    </xf>
    <xf numFmtId="0" fontId="6" fillId="0" borderId="14" xfId="0" applyFont="1" applyFill="1" applyBorder="1" applyAlignment="1">
      <alignment vertical="center" shrinkToFit="1"/>
    </xf>
    <xf numFmtId="180" fontId="4" fillId="0" borderId="15" xfId="0" applyNumberFormat="1" applyFont="1" applyFill="1" applyBorder="1" applyAlignment="1">
      <alignment horizontal="right" vertical="center" shrinkToFit="1"/>
    </xf>
    <xf numFmtId="180" fontId="4" fillId="0" borderId="40" xfId="0" applyNumberFormat="1" applyFont="1" applyFill="1" applyBorder="1" applyAlignment="1">
      <alignment vertical="center" shrinkToFit="1"/>
    </xf>
    <xf numFmtId="38" fontId="3" fillId="0" borderId="2" xfId="1" applyFont="1" applyFill="1" applyBorder="1" applyAlignment="1">
      <alignment vertical="center"/>
    </xf>
    <xf numFmtId="38" fontId="3" fillId="0" borderId="4" xfId="1" applyFont="1" applyFill="1" applyBorder="1" applyAlignment="1">
      <alignment vertical="center"/>
    </xf>
    <xf numFmtId="38" fontId="4" fillId="0" borderId="1" xfId="1" applyFont="1" applyFill="1" applyBorder="1" applyAlignment="1">
      <alignment horizontal="center" vertical="center"/>
    </xf>
    <xf numFmtId="38" fontId="3" fillId="0" borderId="38" xfId="1" applyFont="1" applyFill="1" applyBorder="1" applyAlignment="1">
      <alignment vertical="center"/>
    </xf>
    <xf numFmtId="38" fontId="3" fillId="0" borderId="33" xfId="1" applyFont="1" applyFill="1" applyBorder="1" applyAlignment="1">
      <alignment vertical="center"/>
    </xf>
    <xf numFmtId="38" fontId="4" fillId="0" borderId="38" xfId="1" applyFont="1" applyFill="1" applyBorder="1" applyAlignment="1">
      <alignment vertical="center"/>
    </xf>
    <xf numFmtId="38" fontId="4" fillId="0" borderId="30" xfId="1" applyFont="1" applyFill="1" applyBorder="1" applyAlignment="1">
      <alignment vertical="center"/>
    </xf>
    <xf numFmtId="49" fontId="3" fillId="0" borderId="20" xfId="1" applyNumberFormat="1" applyFont="1" applyFill="1" applyBorder="1" applyAlignment="1">
      <alignment horizontal="center" vertical="center"/>
    </xf>
    <xf numFmtId="38" fontId="3" fillId="0" borderId="21" xfId="1" applyFont="1" applyFill="1" applyBorder="1" applyAlignment="1">
      <alignment vertical="center"/>
    </xf>
    <xf numFmtId="38" fontId="3" fillId="0" borderId="20" xfId="1" applyFont="1" applyFill="1" applyBorder="1" applyAlignment="1">
      <alignment horizontal="center" vertical="center"/>
    </xf>
    <xf numFmtId="38" fontId="4" fillId="0" borderId="40" xfId="1" applyFont="1" applyFill="1" applyBorder="1" applyAlignment="1">
      <alignment horizontal="center" vertical="center"/>
    </xf>
    <xf numFmtId="38" fontId="3" fillId="0" borderId="15" xfId="1" applyFont="1" applyFill="1" applyBorder="1" applyAlignment="1">
      <alignment vertical="center"/>
    </xf>
    <xf numFmtId="38" fontId="4" fillId="0" borderId="15" xfId="1" applyFont="1" applyFill="1" applyBorder="1" applyAlignment="1">
      <alignment vertical="center"/>
    </xf>
    <xf numFmtId="0" fontId="0" fillId="0" borderId="0" xfId="0" applyFill="1" applyAlignment="1">
      <alignment vertical="center"/>
    </xf>
    <xf numFmtId="38" fontId="3" fillId="0" borderId="4" xfId="1" applyFont="1" applyFill="1" applyBorder="1" applyAlignment="1">
      <alignment horizontal="right" vertical="center"/>
    </xf>
    <xf numFmtId="0" fontId="5" fillId="3" borderId="4" xfId="0" applyFont="1" applyFill="1" applyBorder="1" applyAlignment="1">
      <alignment vertical="center"/>
    </xf>
    <xf numFmtId="0" fontId="5" fillId="0" borderId="4" xfId="0" applyFont="1" applyFill="1" applyBorder="1" applyAlignment="1">
      <alignment horizontal="center" vertical="center" wrapText="1"/>
    </xf>
    <xf numFmtId="0" fontId="5" fillId="3" borderId="28" xfId="0" applyFont="1" applyFill="1" applyBorder="1" applyAlignment="1">
      <alignment horizontal="center" vertical="center"/>
    </xf>
    <xf numFmtId="0" fontId="5" fillId="3" borderId="5" xfId="0" applyFont="1" applyFill="1" applyBorder="1" applyAlignment="1">
      <alignment vertical="center"/>
    </xf>
    <xf numFmtId="0" fontId="5" fillId="3" borderId="30" xfId="0" applyFont="1" applyFill="1" applyBorder="1" applyAlignment="1">
      <alignment horizontal="center" vertical="center"/>
    </xf>
    <xf numFmtId="0" fontId="5" fillId="3" borderId="30" xfId="0" applyFont="1" applyFill="1" applyBorder="1" applyAlignment="1">
      <alignment horizontal="center" vertical="center" wrapText="1"/>
    </xf>
    <xf numFmtId="0" fontId="5" fillId="3" borderId="33" xfId="0" applyFont="1" applyFill="1" applyBorder="1" applyAlignment="1">
      <alignment horizontal="center" vertical="center" wrapText="1"/>
    </xf>
    <xf numFmtId="38" fontId="4" fillId="0" borderId="1" xfId="1" applyFont="1" applyFill="1" applyBorder="1" applyAlignment="1">
      <alignment vertical="center"/>
    </xf>
    <xf numFmtId="38" fontId="3" fillId="0" borderId="5" xfId="1" applyFont="1" applyFill="1" applyBorder="1" applyAlignment="1">
      <alignment horizontal="right" vertical="center"/>
    </xf>
    <xf numFmtId="38" fontId="4" fillId="0" borderId="5" xfId="1" applyFont="1" applyFill="1" applyBorder="1" applyAlignment="1">
      <alignment vertical="center"/>
    </xf>
    <xf numFmtId="38" fontId="3" fillId="0" borderId="5" xfId="1" applyFont="1" applyFill="1" applyBorder="1" applyAlignment="1">
      <alignment vertical="center"/>
    </xf>
    <xf numFmtId="38" fontId="4" fillId="0" borderId="32" xfId="1" applyFont="1" applyFill="1" applyBorder="1" applyAlignment="1">
      <alignment vertical="center"/>
    </xf>
    <xf numFmtId="38" fontId="3" fillId="0" borderId="11" xfId="1" applyFont="1" applyFill="1" applyBorder="1" applyAlignment="1">
      <alignment vertical="center"/>
    </xf>
    <xf numFmtId="38" fontId="3" fillId="0" borderId="1" xfId="1" applyFont="1" applyFill="1" applyBorder="1" applyAlignment="1">
      <alignment vertical="center"/>
    </xf>
    <xf numFmtId="38" fontId="3" fillId="0" borderId="32" xfId="1" applyFont="1" applyFill="1" applyBorder="1" applyAlignment="1">
      <alignment vertical="center"/>
    </xf>
    <xf numFmtId="184" fontId="6" fillId="0" borderId="2" xfId="1" applyNumberFormat="1" applyFont="1" applyFill="1" applyBorder="1" applyAlignment="1">
      <alignment horizontal="left" vertical="center"/>
    </xf>
    <xf numFmtId="38" fontId="6" fillId="0" borderId="4" xfId="1" applyFont="1" applyFill="1" applyBorder="1" applyAlignment="1">
      <alignment horizontal="left" vertical="center"/>
    </xf>
    <xf numFmtId="38" fontId="6" fillId="0" borderId="11" xfId="1" applyFont="1" applyFill="1" applyBorder="1" applyAlignment="1">
      <alignment horizontal="left" vertical="center"/>
    </xf>
    <xf numFmtId="0" fontId="5" fillId="0" borderId="0" xfId="0" applyFont="1" applyFill="1" applyAlignment="1">
      <alignment horizontal="left" vertical="center"/>
    </xf>
    <xf numFmtId="184" fontId="6" fillId="0" borderId="38" xfId="1" applyNumberFormat="1" applyFont="1" applyFill="1" applyBorder="1" applyAlignment="1">
      <alignment horizontal="left" vertical="center"/>
    </xf>
    <xf numFmtId="38" fontId="6" fillId="0" borderId="30" xfId="1" applyFont="1" applyFill="1" applyBorder="1" applyAlignment="1">
      <alignment horizontal="left" vertical="center"/>
    </xf>
    <xf numFmtId="38" fontId="6" fillId="0" borderId="33" xfId="1" applyFont="1" applyFill="1" applyBorder="1" applyAlignment="1">
      <alignment horizontal="left" vertical="center"/>
    </xf>
    <xf numFmtId="0" fontId="5" fillId="3" borderId="43" xfId="0" applyFont="1" applyFill="1" applyBorder="1" applyAlignment="1">
      <alignment horizontal="left" vertical="center"/>
    </xf>
    <xf numFmtId="38" fontId="4" fillId="0" borderId="33" xfId="1" applyFont="1" applyFill="1" applyBorder="1" applyAlignment="1">
      <alignment vertical="center"/>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38" fontId="4" fillId="0" borderId="28" xfId="1" applyFont="1" applyFill="1" applyBorder="1" applyAlignment="1">
      <alignment vertical="center"/>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38" fontId="4" fillId="0" borderId="14" xfId="1" applyFont="1" applyFill="1" applyBorder="1" applyAlignment="1">
      <alignment vertical="center"/>
    </xf>
    <xf numFmtId="0" fontId="5" fillId="3" borderId="16" xfId="0" applyFont="1" applyFill="1" applyBorder="1" applyAlignment="1">
      <alignment vertical="center"/>
    </xf>
    <xf numFmtId="0" fontId="5" fillId="3" borderId="12" xfId="0" applyFont="1" applyFill="1" applyBorder="1" applyAlignment="1">
      <alignment vertical="center"/>
    </xf>
    <xf numFmtId="0" fontId="5" fillId="3" borderId="20" xfId="0" applyFont="1" applyFill="1" applyBorder="1" applyAlignment="1">
      <alignment vertical="center"/>
    </xf>
    <xf numFmtId="38" fontId="3" fillId="0" borderId="13" xfId="1" applyFont="1" applyFill="1" applyBorder="1" applyAlignment="1">
      <alignment vertical="center"/>
    </xf>
    <xf numFmtId="38" fontId="3" fillId="0" borderId="28" xfId="1" applyFont="1" applyFill="1" applyBorder="1" applyAlignment="1">
      <alignment vertical="center"/>
    </xf>
    <xf numFmtId="38" fontId="3" fillId="0" borderId="13" xfId="1" applyFont="1" applyFill="1" applyBorder="1" applyAlignment="1">
      <alignment horizontal="right" vertical="center"/>
    </xf>
    <xf numFmtId="38" fontId="3" fillId="0" borderId="11" xfId="1" applyFont="1" applyFill="1" applyBorder="1" applyAlignment="1">
      <alignment horizontal="right" vertical="center"/>
    </xf>
    <xf numFmtId="38" fontId="3" fillId="0" borderId="14" xfId="1" applyFont="1" applyFill="1" applyBorder="1" applyAlignment="1">
      <alignment vertical="center"/>
    </xf>
    <xf numFmtId="0" fontId="5" fillId="0" borderId="28"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3" borderId="52" xfId="0" applyFont="1" applyFill="1" applyBorder="1" applyAlignment="1">
      <alignment horizontal="right" vertical="center"/>
    </xf>
    <xf numFmtId="0" fontId="5" fillId="0" borderId="10" xfId="0" applyFont="1" applyFill="1" applyBorder="1" applyAlignment="1">
      <alignment horizontal="center" vertical="center" wrapText="1"/>
    </xf>
    <xf numFmtId="0" fontId="5" fillId="3" borderId="20" xfId="0" applyFont="1" applyFill="1" applyBorder="1" applyAlignment="1">
      <alignment horizontal="left" vertical="center"/>
    </xf>
    <xf numFmtId="177" fontId="4" fillId="0" borderId="10" xfId="2" applyNumberFormat="1" applyFont="1" applyFill="1" applyBorder="1" applyAlignment="1">
      <alignment vertical="center"/>
    </xf>
    <xf numFmtId="177" fontId="4" fillId="0" borderId="36" xfId="2" applyNumberFormat="1" applyFont="1" applyFill="1" applyBorder="1" applyAlignment="1">
      <alignment vertical="center"/>
    </xf>
    <xf numFmtId="185" fontId="4" fillId="0" borderId="11" xfId="2" applyNumberFormat="1" applyFont="1" applyFill="1" applyBorder="1" applyAlignment="1">
      <alignment vertical="center"/>
    </xf>
    <xf numFmtId="185" fontId="4" fillId="0" borderId="33" xfId="2" applyNumberFormat="1" applyFont="1" applyFill="1" applyBorder="1" applyAlignment="1">
      <alignment vertical="center"/>
    </xf>
    <xf numFmtId="0" fontId="6" fillId="0" borderId="0" xfId="3" applyFont="1" applyFill="1" applyBorder="1" applyAlignment="1">
      <alignment horizontal="left" vertical="center"/>
    </xf>
    <xf numFmtId="38" fontId="4" fillId="0" borderId="9" xfId="1" applyFont="1" applyFill="1" applyBorder="1" applyAlignment="1">
      <alignment vertical="center" shrinkToFit="1"/>
    </xf>
    <xf numFmtId="38" fontId="4" fillId="0" borderId="13" xfId="1" applyFont="1" applyFill="1" applyBorder="1" applyAlignment="1">
      <alignment vertical="center" shrinkToFit="1"/>
    </xf>
    <xf numFmtId="38" fontId="4" fillId="0" borderId="4" xfId="1" applyFont="1" applyFill="1" applyBorder="1" applyAlignment="1">
      <alignment vertical="center" shrinkToFit="1"/>
    </xf>
    <xf numFmtId="38" fontId="4" fillId="0" borderId="11" xfId="1" applyFont="1" applyFill="1" applyBorder="1" applyAlignment="1">
      <alignment vertical="center" shrinkToFit="1"/>
    </xf>
    <xf numFmtId="38" fontId="4" fillId="0" borderId="13" xfId="1" applyFont="1" applyFill="1" applyBorder="1" applyAlignment="1">
      <alignment horizontal="right" vertical="center" shrinkToFit="1"/>
    </xf>
    <xf numFmtId="0" fontId="6" fillId="0" borderId="5" xfId="3" applyFont="1" applyFill="1" applyBorder="1" applyAlignment="1">
      <alignment vertical="center"/>
    </xf>
    <xf numFmtId="38" fontId="4" fillId="0" borderId="4" xfId="1" applyFont="1" applyFill="1" applyBorder="1" applyAlignment="1">
      <alignment horizontal="right" vertical="center" shrinkToFit="1"/>
    </xf>
    <xf numFmtId="0" fontId="6" fillId="0" borderId="4" xfId="3" applyFont="1" applyFill="1" applyBorder="1" applyAlignment="1">
      <alignment vertical="center"/>
    </xf>
    <xf numFmtId="177" fontId="4" fillId="0" borderId="4" xfId="3" applyNumberFormat="1" applyFont="1" applyFill="1" applyBorder="1" applyAlignment="1">
      <alignment vertical="center" shrinkToFit="1"/>
    </xf>
    <xf numFmtId="177" fontId="4" fillId="0" borderId="4" xfId="3" applyNumberFormat="1" applyFont="1" applyFill="1" applyBorder="1" applyAlignment="1">
      <alignment horizontal="right" vertical="center" shrinkToFit="1"/>
    </xf>
    <xf numFmtId="0" fontId="6" fillId="0" borderId="32" xfId="3" applyFont="1" applyFill="1" applyBorder="1" applyAlignment="1">
      <alignment vertical="center"/>
    </xf>
    <xf numFmtId="38" fontId="4" fillId="0" borderId="11" xfId="1" applyFont="1" applyFill="1" applyBorder="1" applyAlignment="1">
      <alignment horizontal="right" vertical="center" shrinkToFit="1"/>
    </xf>
    <xf numFmtId="177" fontId="4" fillId="0" borderId="11" xfId="3" applyNumberFormat="1" applyFont="1" applyFill="1" applyBorder="1" applyAlignment="1">
      <alignment vertical="center" shrinkToFit="1"/>
    </xf>
    <xf numFmtId="177" fontId="4" fillId="0" borderId="11" xfId="3" applyNumberFormat="1" applyFont="1" applyFill="1" applyBorder="1" applyAlignment="1">
      <alignment horizontal="right" vertical="center" shrinkToFit="1"/>
    </xf>
    <xf numFmtId="0" fontId="6" fillId="0" borderId="40" xfId="3" applyFont="1" applyFill="1" applyBorder="1" applyAlignment="1">
      <alignment vertical="center"/>
    </xf>
    <xf numFmtId="38" fontId="4" fillId="0" borderId="14" xfId="1" applyFont="1" applyFill="1" applyBorder="1" applyAlignment="1">
      <alignment vertical="center" shrinkToFit="1"/>
    </xf>
    <xf numFmtId="38" fontId="4" fillId="0" borderId="14" xfId="1" applyFont="1" applyFill="1" applyBorder="1" applyAlignment="1">
      <alignment horizontal="right" vertical="center" shrinkToFit="1"/>
    </xf>
    <xf numFmtId="38" fontId="4" fillId="0" borderId="49" xfId="1" applyFont="1" applyFill="1" applyBorder="1" applyAlignment="1">
      <alignment vertical="center" shrinkToFit="1"/>
    </xf>
    <xf numFmtId="38" fontId="4" fillId="0" borderId="49" xfId="1" applyFont="1" applyFill="1" applyBorder="1" applyAlignment="1">
      <alignment horizontal="right" vertical="center" shrinkToFit="1"/>
    </xf>
    <xf numFmtId="38" fontId="4" fillId="0" borderId="33" xfId="1" applyFont="1" applyFill="1" applyBorder="1" applyAlignment="1">
      <alignment vertical="center" shrinkToFit="1"/>
    </xf>
    <xf numFmtId="38" fontId="4" fillId="0" borderId="30" xfId="1" applyFont="1" applyFill="1" applyBorder="1" applyAlignment="1">
      <alignment vertical="center" shrinkToFit="1"/>
    </xf>
    <xf numFmtId="38" fontId="4" fillId="0" borderId="22" xfId="1" applyFont="1" applyFill="1" applyBorder="1" applyAlignment="1">
      <alignment vertical="center" shrinkToFit="1"/>
    </xf>
    <xf numFmtId="0" fontId="6" fillId="0" borderId="0" xfId="0" applyFont="1" applyFill="1" applyBorder="1" applyAlignment="1">
      <alignment horizontal="left" vertical="center"/>
    </xf>
    <xf numFmtId="0" fontId="6" fillId="0" borderId="14" xfId="2" applyNumberFormat="1" applyFont="1" applyFill="1" applyBorder="1" applyAlignment="1">
      <alignment horizontal="left" vertical="center" wrapText="1"/>
    </xf>
    <xf numFmtId="0" fontId="6" fillId="0" borderId="4" xfId="2" applyNumberFormat="1" applyFont="1" applyFill="1" applyBorder="1" applyAlignment="1">
      <alignment horizontal="left" vertical="center" wrapText="1"/>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180" fontId="6" fillId="0" borderId="19" xfId="0" applyNumberFormat="1" applyFont="1" applyFill="1" applyBorder="1" applyAlignment="1">
      <alignment horizontal="left" vertical="center"/>
    </xf>
    <xf numFmtId="0" fontId="6" fillId="0" borderId="1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5" fillId="0" borderId="3" xfId="0"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0" xfId="0" applyFont="1" applyFill="1" applyBorder="1" applyAlignment="1">
      <alignment horizontal="center" vertical="center"/>
    </xf>
    <xf numFmtId="0" fontId="8" fillId="0" borderId="0" xfId="0" applyFont="1" applyFill="1" applyBorder="1" applyAlignment="1">
      <alignment horizontal="left" vertical="center"/>
    </xf>
    <xf numFmtId="0" fontId="7"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176" fontId="4" fillId="0" borderId="38" xfId="0" applyNumberFormat="1" applyFont="1" applyFill="1" applyBorder="1" applyAlignment="1">
      <alignment vertical="center"/>
    </xf>
    <xf numFmtId="176" fontId="4" fillId="0" borderId="30" xfId="0" applyNumberFormat="1" applyFont="1" applyFill="1" applyBorder="1" applyAlignment="1">
      <alignment vertical="center"/>
    </xf>
    <xf numFmtId="176" fontId="4" fillId="0" borderId="32"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33" xfId="0" applyNumberFormat="1" applyFont="1" applyFill="1" applyBorder="1" applyAlignment="1">
      <alignment vertical="center"/>
    </xf>
    <xf numFmtId="0" fontId="3" fillId="0" borderId="12" xfId="0" applyFont="1" applyFill="1" applyBorder="1" applyAlignment="1">
      <alignment horizontal="center" vertical="center"/>
    </xf>
    <xf numFmtId="176" fontId="4" fillId="0" borderId="27" xfId="0" applyNumberFormat="1" applyFont="1" applyFill="1" applyBorder="1" applyAlignment="1">
      <alignment vertical="center"/>
    </xf>
    <xf numFmtId="176" fontId="4" fillId="0" borderId="13" xfId="0" applyNumberFormat="1" applyFont="1" applyFill="1" applyBorder="1" applyAlignment="1">
      <alignment vertical="center"/>
    </xf>
    <xf numFmtId="0" fontId="5" fillId="0" borderId="53" xfId="0" applyFont="1" applyBorder="1" applyAlignment="1">
      <alignment horizontal="center" vertical="center" wrapText="1"/>
    </xf>
    <xf numFmtId="0" fontId="5" fillId="3" borderId="16" xfId="0" applyFont="1" applyFill="1" applyBorder="1" applyAlignment="1">
      <alignment horizontal="center" vertical="center"/>
    </xf>
    <xf numFmtId="176" fontId="9" fillId="0" borderId="33" xfId="0" applyNumberFormat="1" applyFont="1" applyFill="1" applyBorder="1" applyAlignment="1">
      <alignment vertical="center"/>
    </xf>
    <xf numFmtId="0" fontId="5" fillId="2" borderId="53" xfId="0" applyFont="1" applyFill="1" applyBorder="1" applyAlignment="1">
      <alignment horizontal="center" vertical="center"/>
    </xf>
    <xf numFmtId="0" fontId="5" fillId="0" borderId="8" xfId="0" applyFont="1" applyBorder="1" applyAlignment="1">
      <alignment horizontal="center" vertical="center" wrapText="1"/>
    </xf>
    <xf numFmtId="176" fontId="9" fillId="0" borderId="2" xfId="0" applyNumberFormat="1" applyFont="1" applyFill="1" applyBorder="1" applyAlignment="1">
      <alignment vertical="center"/>
    </xf>
    <xf numFmtId="176" fontId="9" fillId="0" borderId="38" xfId="0" applyNumberFormat="1" applyFont="1" applyFill="1" applyBorder="1" applyAlignment="1">
      <alignment vertical="center"/>
    </xf>
    <xf numFmtId="176" fontId="9" fillId="0" borderId="30" xfId="0" applyNumberFormat="1" applyFont="1" applyFill="1" applyBorder="1" applyAlignment="1">
      <alignment vertical="center"/>
    </xf>
    <xf numFmtId="176" fontId="9" fillId="0" borderId="11" xfId="0" applyNumberFormat="1" applyFont="1" applyFill="1" applyBorder="1" applyAlignment="1">
      <alignment vertical="center"/>
    </xf>
    <xf numFmtId="0" fontId="5" fillId="0" borderId="20"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2" borderId="53" xfId="0" applyFont="1" applyFill="1" applyBorder="1" applyAlignment="1">
      <alignment horizontal="center" vertical="center" wrapText="1"/>
    </xf>
    <xf numFmtId="0" fontId="5" fillId="5" borderId="53" xfId="0" applyFont="1" applyFill="1" applyBorder="1" applyAlignment="1">
      <alignment horizontal="center" vertical="center"/>
    </xf>
    <xf numFmtId="0" fontId="5" fillId="2" borderId="8" xfId="0" applyFont="1" applyFill="1" applyBorder="1" applyAlignment="1">
      <alignment horizontal="center" vertical="center" wrapText="1"/>
    </xf>
    <xf numFmtId="176" fontId="4" fillId="0" borderId="26" xfId="0" applyNumberFormat="1" applyFont="1" applyFill="1" applyBorder="1" applyAlignment="1">
      <alignment vertical="center"/>
    </xf>
    <xf numFmtId="176" fontId="4" fillId="0" borderId="29" xfId="0" applyNumberFormat="1" applyFont="1" applyFill="1" applyBorder="1" applyAlignment="1">
      <alignment vertical="center"/>
    </xf>
    <xf numFmtId="176" fontId="4" fillId="0" borderId="31" xfId="0" applyNumberFormat="1" applyFont="1" applyFill="1" applyBorder="1" applyAlignment="1">
      <alignment vertical="center"/>
    </xf>
    <xf numFmtId="176" fontId="9" fillId="0" borderId="13" xfId="0" applyNumberFormat="1" applyFont="1" applyFill="1" applyBorder="1" applyAlignment="1">
      <alignment vertical="center"/>
    </xf>
    <xf numFmtId="0" fontId="5" fillId="3" borderId="34" xfId="0" applyFont="1" applyFill="1" applyBorder="1" applyAlignment="1">
      <alignment horizontal="center" vertical="center"/>
    </xf>
    <xf numFmtId="0" fontId="5" fillId="5" borderId="53" xfId="0" applyFont="1" applyFill="1" applyBorder="1" applyAlignment="1">
      <alignment horizontal="center" vertical="center" wrapText="1"/>
    </xf>
    <xf numFmtId="176" fontId="4" fillId="0" borderId="13" xfId="0" applyNumberFormat="1" applyFont="1" applyFill="1" applyBorder="1" applyAlignment="1">
      <alignment horizontal="right" vertical="center"/>
    </xf>
    <xf numFmtId="178" fontId="9" fillId="0" borderId="30" xfId="0" applyNumberFormat="1" applyFont="1" applyFill="1" applyBorder="1" applyAlignment="1">
      <alignment vertical="center"/>
    </xf>
    <xf numFmtId="178" fontId="9" fillId="0" borderId="33" xfId="0" applyNumberFormat="1" applyFont="1" applyFill="1" applyBorder="1" applyAlignment="1">
      <alignment vertical="center"/>
    </xf>
    <xf numFmtId="0" fontId="5" fillId="2" borderId="8" xfId="0" applyFont="1" applyFill="1" applyBorder="1" applyAlignment="1">
      <alignment horizontal="left" vertical="center"/>
    </xf>
    <xf numFmtId="0" fontId="6" fillId="0" borderId="26" xfId="0" applyFont="1" applyBorder="1" applyAlignment="1">
      <alignment horizontal="distributed" vertical="center"/>
    </xf>
    <xf numFmtId="177" fontId="4" fillId="0" borderId="27" xfId="0" applyNumberFormat="1" applyFont="1" applyFill="1" applyBorder="1" applyAlignment="1">
      <alignment vertical="center"/>
    </xf>
    <xf numFmtId="177" fontId="4" fillId="0" borderId="13" xfId="0" applyNumberFormat="1" applyFont="1" applyFill="1" applyBorder="1" applyAlignment="1">
      <alignment vertical="center"/>
    </xf>
    <xf numFmtId="177" fontId="4" fillId="0" borderId="28" xfId="0" applyNumberFormat="1" applyFont="1" applyFill="1" applyBorder="1" applyAlignment="1">
      <alignment vertical="center"/>
    </xf>
    <xf numFmtId="177" fontId="4" fillId="0" borderId="28" xfId="0" applyNumberFormat="1" applyFont="1" applyBorder="1" applyAlignment="1">
      <alignment vertical="center"/>
    </xf>
    <xf numFmtId="0" fontId="6" fillId="0" borderId="29" xfId="0" applyFont="1" applyBorder="1" applyAlignment="1">
      <alignment horizontal="distributed" vertical="center"/>
    </xf>
    <xf numFmtId="177" fontId="4" fillId="0" borderId="5" xfId="0" applyNumberFormat="1" applyFont="1" applyFill="1" applyBorder="1" applyAlignment="1">
      <alignment vertical="center"/>
    </xf>
    <xf numFmtId="177" fontId="4" fillId="0" borderId="4" xfId="0" applyNumberFormat="1" applyFont="1" applyFill="1" applyBorder="1" applyAlignment="1">
      <alignment vertical="center"/>
    </xf>
    <xf numFmtId="177" fontId="4" fillId="0" borderId="30" xfId="0" applyNumberFormat="1" applyFont="1" applyFill="1" applyBorder="1" applyAlignment="1">
      <alignment vertical="center"/>
    </xf>
    <xf numFmtId="177" fontId="4" fillId="0" borderId="30" xfId="0" applyNumberFormat="1" applyFont="1" applyBorder="1" applyAlignment="1">
      <alignment vertical="center"/>
    </xf>
    <xf numFmtId="0" fontId="6" fillId="0" borderId="39" xfId="0" applyFont="1" applyBorder="1" applyAlignment="1">
      <alignment horizontal="distributed" vertical="center"/>
    </xf>
    <xf numFmtId="177" fontId="4" fillId="0" borderId="40" xfId="0" applyNumberFormat="1" applyFont="1" applyFill="1" applyBorder="1" applyAlignment="1">
      <alignment vertical="center"/>
    </xf>
    <xf numFmtId="177" fontId="4" fillId="0" borderId="14" xfId="0" applyNumberFormat="1" applyFont="1" applyFill="1" applyBorder="1" applyAlignment="1">
      <alignment vertical="center"/>
    </xf>
    <xf numFmtId="177" fontId="4" fillId="0" borderId="15" xfId="0" applyNumberFormat="1" applyFont="1" applyFill="1" applyBorder="1" applyAlignment="1">
      <alignment vertical="center"/>
    </xf>
    <xf numFmtId="177" fontId="4" fillId="0" borderId="15" xfId="0" applyNumberFormat="1" applyFont="1" applyBorder="1" applyAlignment="1">
      <alignment vertical="center"/>
    </xf>
    <xf numFmtId="0" fontId="6" fillId="0" borderId="24" xfId="0" applyFont="1" applyBorder="1" applyAlignment="1">
      <alignment horizontal="distributed" vertical="center"/>
    </xf>
    <xf numFmtId="177" fontId="4" fillId="0" borderId="12" xfId="0" applyNumberFormat="1" applyFont="1" applyBorder="1" applyAlignment="1">
      <alignment vertical="center"/>
    </xf>
    <xf numFmtId="177" fontId="4" fillId="0" borderId="0" xfId="0" applyNumberFormat="1" applyFont="1" applyBorder="1" applyAlignment="1">
      <alignment vertical="center"/>
    </xf>
    <xf numFmtId="177" fontId="4" fillId="0" borderId="19" xfId="0" applyNumberFormat="1" applyFont="1" applyBorder="1" applyAlignment="1">
      <alignment vertical="center"/>
    </xf>
    <xf numFmtId="0" fontId="6" fillId="0" borderId="25" xfId="0" applyFont="1" applyBorder="1" applyAlignment="1">
      <alignment horizontal="distributed" vertical="center"/>
    </xf>
    <xf numFmtId="177" fontId="4" fillId="0" borderId="20" xfId="0" applyNumberFormat="1" applyFont="1" applyBorder="1" applyAlignment="1">
      <alignment vertical="center"/>
    </xf>
    <xf numFmtId="177" fontId="4" fillId="0" borderId="3" xfId="0" applyNumberFormat="1" applyFont="1" applyBorder="1" applyAlignment="1">
      <alignment vertical="center"/>
    </xf>
    <xf numFmtId="177" fontId="4" fillId="0" borderId="21" xfId="0" applyNumberFormat="1" applyFont="1" applyBorder="1" applyAlignment="1">
      <alignment vertical="center"/>
    </xf>
    <xf numFmtId="177" fontId="4" fillId="0" borderId="13" xfId="0" applyNumberFormat="1" applyFont="1" applyBorder="1" applyAlignment="1">
      <alignment vertical="center"/>
    </xf>
    <xf numFmtId="177" fontId="4" fillId="0" borderId="4" xfId="0" applyNumberFormat="1" applyFont="1" applyBorder="1" applyAlignment="1">
      <alignment vertical="center"/>
    </xf>
    <xf numFmtId="177" fontId="4" fillId="0" borderId="14" xfId="0" applyNumberFormat="1" applyFont="1" applyBorder="1" applyAlignment="1">
      <alignment vertical="center"/>
    </xf>
    <xf numFmtId="177" fontId="4" fillId="0" borderId="20" xfId="0" applyNumberFormat="1" applyFont="1" applyFill="1" applyBorder="1" applyAlignment="1">
      <alignment vertical="center"/>
    </xf>
    <xf numFmtId="177" fontId="4" fillId="0" borderId="3" xfId="0" applyNumberFormat="1" applyFont="1" applyFill="1" applyBorder="1" applyAlignment="1">
      <alignment vertical="center"/>
    </xf>
    <xf numFmtId="177" fontId="4" fillId="0" borderId="21" xfId="0" applyNumberFormat="1" applyFont="1" applyFill="1" applyBorder="1" applyAlignment="1">
      <alignment vertical="center"/>
    </xf>
    <xf numFmtId="0" fontId="5" fillId="3" borderId="12" xfId="0" applyFont="1" applyFill="1" applyBorder="1" applyAlignment="1">
      <alignment horizontal="center" vertical="center"/>
    </xf>
    <xf numFmtId="0" fontId="6" fillId="0" borderId="37" xfId="0" applyFont="1" applyBorder="1" applyAlignment="1">
      <alignment horizontal="distributed" vertical="center"/>
    </xf>
    <xf numFmtId="177" fontId="4" fillId="0" borderId="1" xfId="0" applyNumberFormat="1" applyFont="1" applyFill="1" applyBorder="1" applyAlignment="1">
      <alignment vertical="center"/>
    </xf>
    <xf numFmtId="177" fontId="4" fillId="0" borderId="2" xfId="0" applyNumberFormat="1" applyFont="1" applyFill="1" applyBorder="1" applyAlignment="1">
      <alignment vertical="center"/>
    </xf>
    <xf numFmtId="177" fontId="4" fillId="0" borderId="38" xfId="0" applyNumberFormat="1" applyFont="1" applyFill="1" applyBorder="1" applyAlignment="1">
      <alignment vertical="center"/>
    </xf>
    <xf numFmtId="177" fontId="4" fillId="0" borderId="2" xfId="0" applyNumberFormat="1" applyFont="1" applyBorder="1" applyAlignment="1">
      <alignment vertical="center"/>
    </xf>
    <xf numFmtId="177" fontId="4" fillId="0" borderId="38" xfId="0" applyNumberFormat="1" applyFont="1" applyBorder="1" applyAlignment="1">
      <alignment vertical="center"/>
    </xf>
    <xf numFmtId="0" fontId="6" fillId="2" borderId="53" xfId="0" applyFont="1" applyFill="1" applyBorder="1" applyAlignment="1">
      <alignment horizontal="center" vertical="center"/>
    </xf>
    <xf numFmtId="0" fontId="6" fillId="2" borderId="53" xfId="0" applyFont="1" applyFill="1" applyBorder="1" applyAlignment="1">
      <alignment horizontal="center" vertical="center" shrinkToFit="1"/>
    </xf>
    <xf numFmtId="0" fontId="6" fillId="0" borderId="0" xfId="0" applyFont="1" applyFill="1" applyBorder="1" applyAlignment="1">
      <alignment vertical="center"/>
    </xf>
    <xf numFmtId="0" fontId="6" fillId="3" borderId="27" xfId="0" applyFont="1" applyFill="1" applyBorder="1" applyAlignment="1">
      <alignment horizontal="center" vertical="center"/>
    </xf>
    <xf numFmtId="0" fontId="6" fillId="3" borderId="13" xfId="0" applyFont="1" applyFill="1" applyBorder="1" applyAlignment="1">
      <alignment vertical="center"/>
    </xf>
    <xf numFmtId="179" fontId="4" fillId="0" borderId="27" xfId="0" applyNumberFormat="1" applyFont="1" applyFill="1" applyBorder="1" applyAlignment="1">
      <alignment vertical="center"/>
    </xf>
    <xf numFmtId="179" fontId="4" fillId="0" borderId="13" xfId="0" applyNumberFormat="1" applyFont="1" applyFill="1" applyBorder="1" applyAlignment="1">
      <alignment vertical="center"/>
    </xf>
    <xf numFmtId="0" fontId="6" fillId="3" borderId="5" xfId="0" applyFont="1" applyFill="1" applyBorder="1" applyAlignment="1">
      <alignment horizontal="center" vertical="center"/>
    </xf>
    <xf numFmtId="0" fontId="6" fillId="3" borderId="4" xfId="0" applyFont="1" applyFill="1" applyBorder="1" applyAlignment="1">
      <alignment vertical="center"/>
    </xf>
    <xf numFmtId="179" fontId="4" fillId="0" borderId="5" xfId="0" applyNumberFormat="1" applyFont="1" applyFill="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3" borderId="40" xfId="0" applyFont="1" applyFill="1" applyBorder="1" applyAlignment="1">
      <alignment horizontal="center" vertical="center"/>
    </xf>
    <xf numFmtId="0" fontId="6" fillId="3" borderId="14" xfId="0" applyFont="1" applyFill="1" applyBorder="1" applyAlignment="1">
      <alignment vertical="center"/>
    </xf>
    <xf numFmtId="179" fontId="4" fillId="0" borderId="40" xfId="0" applyNumberFormat="1" applyFont="1" applyFill="1" applyBorder="1" applyAlignment="1">
      <alignment vertical="center"/>
    </xf>
    <xf numFmtId="179" fontId="4" fillId="0" borderId="14" xfId="0" applyNumberFormat="1" applyFont="1" applyFill="1" applyBorder="1" applyAlignment="1">
      <alignment vertical="center"/>
    </xf>
    <xf numFmtId="179" fontId="4" fillId="0" borderId="20" xfId="0" applyNumberFormat="1" applyFont="1" applyFill="1" applyBorder="1" applyAlignment="1">
      <alignment vertical="center"/>
    </xf>
    <xf numFmtId="179" fontId="4" fillId="0" borderId="3" xfId="0" applyNumberFormat="1" applyFont="1" applyFill="1" applyBorder="1" applyAlignment="1">
      <alignment vertical="center"/>
    </xf>
    <xf numFmtId="0" fontId="6" fillId="0" borderId="4"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5" borderId="20" xfId="0" applyFont="1" applyFill="1" applyBorder="1" applyAlignment="1">
      <alignment vertical="center"/>
    </xf>
    <xf numFmtId="0" fontId="6" fillId="5" borderId="3" xfId="0" applyFont="1" applyFill="1" applyBorder="1" applyAlignment="1">
      <alignment vertical="center"/>
    </xf>
    <xf numFmtId="0" fontId="7" fillId="0" borderId="2" xfId="0"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horizontal="center" vertical="center"/>
    </xf>
    <xf numFmtId="0" fontId="6" fillId="3" borderId="26" xfId="0" applyFont="1" applyFill="1" applyBorder="1" applyAlignment="1">
      <alignment vertical="center"/>
    </xf>
    <xf numFmtId="0" fontId="6" fillId="3" borderId="29" xfId="0" applyFont="1" applyFill="1" applyBorder="1" applyAlignment="1">
      <alignment vertical="center"/>
    </xf>
    <xf numFmtId="38" fontId="4" fillId="0" borderId="5" xfId="1" applyFont="1" applyFill="1" applyBorder="1" applyAlignment="1">
      <alignment horizontal="right" vertical="center"/>
    </xf>
    <xf numFmtId="38" fontId="4" fillId="0" borderId="4" xfId="1" applyFont="1" applyFill="1" applyBorder="1" applyAlignment="1">
      <alignment horizontal="right" vertical="center"/>
    </xf>
    <xf numFmtId="38" fontId="4" fillId="0" borderId="30" xfId="1" applyFont="1" applyFill="1" applyBorder="1" applyAlignment="1">
      <alignment horizontal="right" vertical="center"/>
    </xf>
    <xf numFmtId="0" fontId="6" fillId="3" borderId="29" xfId="0" applyFont="1" applyFill="1" applyBorder="1" applyAlignment="1">
      <alignment horizontal="left" vertical="center"/>
    </xf>
    <xf numFmtId="0" fontId="6" fillId="3" borderId="31" xfId="0" applyFont="1" applyFill="1" applyBorder="1" applyAlignment="1">
      <alignment horizontal="left" vertical="center"/>
    </xf>
    <xf numFmtId="38" fontId="4" fillId="0" borderId="32" xfId="1" applyFont="1" applyFill="1" applyBorder="1" applyAlignment="1">
      <alignment horizontal="right" vertical="center"/>
    </xf>
    <xf numFmtId="38" fontId="4" fillId="0" borderId="11" xfId="1" applyFont="1" applyFill="1" applyBorder="1" applyAlignment="1">
      <alignment horizontal="right" vertical="center"/>
    </xf>
    <xf numFmtId="38" fontId="4" fillId="0" borderId="33"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28" xfId="1" applyFont="1" applyFill="1" applyBorder="1" applyAlignment="1">
      <alignment horizontal="right" vertical="center"/>
    </xf>
    <xf numFmtId="0" fontId="6" fillId="0" borderId="53" xfId="0" applyFont="1" applyFill="1" applyBorder="1" applyAlignment="1">
      <alignment horizontal="center" vertical="center"/>
    </xf>
    <xf numFmtId="38" fontId="4" fillId="0" borderId="2" xfId="1" applyFont="1" applyFill="1" applyBorder="1" applyAlignment="1">
      <alignment horizontal="right" vertical="center"/>
    </xf>
    <xf numFmtId="38" fontId="4" fillId="0" borderId="4" xfId="1" applyNumberFormat="1" applyFont="1" applyFill="1" applyBorder="1" applyAlignment="1">
      <alignment horizontal="right" vertical="center"/>
    </xf>
    <xf numFmtId="0" fontId="6" fillId="3" borderId="34" xfId="0" applyFont="1" applyFill="1" applyBorder="1" applyAlignment="1">
      <alignment vertical="center"/>
    </xf>
    <xf numFmtId="38" fontId="4" fillId="0" borderId="10" xfId="1" applyFont="1" applyFill="1" applyBorder="1" applyAlignment="1">
      <alignment horizontal="right" vertical="center"/>
    </xf>
    <xf numFmtId="38" fontId="4" fillId="0" borderId="4" xfId="1" quotePrefix="1" applyFont="1" applyFill="1" applyBorder="1" applyAlignment="1">
      <alignment horizontal="right" vertical="center"/>
    </xf>
    <xf numFmtId="0" fontId="6" fillId="3" borderId="31" xfId="0" applyFont="1" applyFill="1" applyBorder="1" applyAlignment="1">
      <alignment vertical="center"/>
    </xf>
    <xf numFmtId="38" fontId="4" fillId="0" borderId="11" xfId="1" quotePrefix="1" applyFont="1" applyFill="1" applyBorder="1" applyAlignment="1">
      <alignment horizontal="right" vertical="center"/>
    </xf>
    <xf numFmtId="38" fontId="4" fillId="0" borderId="11" xfId="0" applyNumberFormat="1" applyFont="1" applyFill="1" applyBorder="1" applyAlignment="1">
      <alignment horizontal="right" vertical="center"/>
    </xf>
    <xf numFmtId="38" fontId="4" fillId="0" borderId="2" xfId="1" applyNumberFormat="1" applyFont="1" applyFill="1" applyBorder="1" applyAlignment="1">
      <alignment horizontal="right" vertical="center"/>
    </xf>
    <xf numFmtId="179" fontId="6" fillId="5" borderId="22" xfId="0" applyNumberFormat="1" applyFont="1" applyFill="1" applyBorder="1" applyAlignment="1">
      <alignment horizontal="center" vertical="center"/>
    </xf>
    <xf numFmtId="179" fontId="6" fillId="2" borderId="53" xfId="0" applyNumberFormat="1" applyFont="1" applyFill="1" applyBorder="1" applyAlignment="1">
      <alignment horizontal="center" vertical="center" wrapText="1"/>
    </xf>
    <xf numFmtId="179" fontId="6" fillId="5" borderId="53" xfId="0" applyNumberFormat="1" applyFont="1" applyFill="1" applyBorder="1" applyAlignment="1">
      <alignment horizontal="center" vertical="center"/>
    </xf>
    <xf numFmtId="38" fontId="4" fillId="0" borderId="37" xfId="1" applyFont="1" applyFill="1" applyBorder="1" applyAlignment="1">
      <alignment vertical="center"/>
    </xf>
    <xf numFmtId="38" fontId="4" fillId="0" borderId="29" xfId="1" applyFont="1" applyFill="1" applyBorder="1" applyAlignment="1">
      <alignment vertical="center"/>
    </xf>
    <xf numFmtId="38" fontId="4" fillId="0" borderId="34" xfId="1" applyFont="1" applyFill="1" applyBorder="1" applyAlignment="1">
      <alignment vertical="center"/>
    </xf>
    <xf numFmtId="38" fontId="4" fillId="0" borderId="26" xfId="1" applyFont="1" applyFill="1" applyBorder="1" applyAlignment="1">
      <alignment vertical="center"/>
    </xf>
    <xf numFmtId="38" fontId="4" fillId="0" borderId="31" xfId="1" applyFont="1" applyFill="1" applyBorder="1" applyAlignment="1">
      <alignment vertical="center"/>
    </xf>
    <xf numFmtId="179" fontId="6" fillId="5" borderId="53" xfId="0" applyNumberFormat="1" applyFont="1" applyFill="1" applyBorder="1" applyAlignment="1">
      <alignment horizontal="center" vertical="center" wrapText="1"/>
    </xf>
    <xf numFmtId="38" fontId="4" fillId="0" borderId="37" xfId="1" applyFont="1" applyFill="1" applyBorder="1" applyAlignment="1">
      <alignment horizontal="right" vertical="center"/>
    </xf>
    <xf numFmtId="38" fontId="4" fillId="0" borderId="29" xfId="1" applyFont="1" applyFill="1" applyBorder="1" applyAlignment="1">
      <alignment horizontal="right" vertical="center"/>
    </xf>
    <xf numFmtId="38" fontId="4" fillId="0" borderId="34" xfId="1" applyFont="1" applyFill="1" applyBorder="1" applyAlignment="1">
      <alignment horizontal="right" vertical="center"/>
    </xf>
    <xf numFmtId="38" fontId="4" fillId="0" borderId="1"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10" xfId="0" applyNumberFormat="1" applyFont="1" applyFill="1" applyBorder="1" applyAlignment="1">
      <alignment vertical="center"/>
    </xf>
    <xf numFmtId="38" fontId="4" fillId="0" borderId="26" xfId="1" applyFont="1" applyFill="1" applyBorder="1" applyAlignment="1">
      <alignment horizontal="right" vertical="center"/>
    </xf>
    <xf numFmtId="38" fontId="4" fillId="0" borderId="31" xfId="1" applyFont="1" applyFill="1" applyBorder="1" applyAlignment="1">
      <alignment horizontal="right" vertical="center"/>
    </xf>
    <xf numFmtId="38" fontId="4" fillId="0" borderId="6" xfId="1" applyFont="1" applyFill="1" applyBorder="1" applyAlignment="1">
      <alignment vertical="center"/>
    </xf>
    <xf numFmtId="38" fontId="4" fillId="0" borderId="7" xfId="1" applyFont="1" applyFill="1" applyBorder="1" applyAlignment="1">
      <alignment vertical="center"/>
    </xf>
    <xf numFmtId="38" fontId="4" fillId="0" borderId="36" xfId="1" applyFont="1" applyFill="1" applyBorder="1" applyAlignment="1">
      <alignment horizontal="right" vertical="center"/>
    </xf>
    <xf numFmtId="0" fontId="6" fillId="3" borderId="32" xfId="0" applyFont="1" applyFill="1" applyBorder="1" applyAlignment="1">
      <alignment horizontal="center" vertical="center"/>
    </xf>
    <xf numFmtId="180" fontId="4" fillId="0" borderId="32" xfId="0" applyNumberFormat="1" applyFont="1" applyFill="1" applyBorder="1" applyAlignment="1">
      <alignment horizontal="right" vertical="center"/>
    </xf>
    <xf numFmtId="180" fontId="4" fillId="0" borderId="11" xfId="0" applyNumberFormat="1" applyFont="1" applyFill="1" applyBorder="1" applyAlignment="1">
      <alignment horizontal="right" vertical="center"/>
    </xf>
    <xf numFmtId="0" fontId="5" fillId="3" borderId="1"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53" xfId="0" applyFont="1" applyFill="1" applyBorder="1" applyAlignment="1">
      <alignment horizontal="center" vertical="center" wrapText="1"/>
    </xf>
    <xf numFmtId="0" fontId="5" fillId="0" borderId="53"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12" xfId="0" applyFont="1" applyFill="1" applyBorder="1" applyAlignment="1">
      <alignment vertical="center"/>
    </xf>
    <xf numFmtId="0" fontId="5" fillId="5" borderId="20" xfId="0" applyFont="1" applyFill="1" applyBorder="1" applyAlignment="1">
      <alignment vertical="center"/>
    </xf>
    <xf numFmtId="0" fontId="5" fillId="3" borderId="52" xfId="0"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right" vertical="center" shrinkToFit="1"/>
    </xf>
    <xf numFmtId="0" fontId="6" fillId="0" borderId="0" xfId="3" applyFont="1" applyFill="1" applyBorder="1" applyAlignment="1">
      <alignment vertical="center"/>
    </xf>
    <xf numFmtId="0" fontId="6" fillId="0" borderId="0" xfId="3" applyFont="1" applyFill="1" applyBorder="1" applyAlignment="1">
      <alignment horizontal="left" vertical="center" wrapText="1"/>
    </xf>
    <xf numFmtId="38" fontId="3" fillId="0" borderId="26" xfId="0" applyNumberFormat="1" applyFont="1" applyFill="1" applyBorder="1" applyAlignment="1">
      <alignment vertical="center"/>
    </xf>
    <xf numFmtId="38" fontId="3" fillId="0" borderId="31" xfId="0" applyNumberFormat="1" applyFont="1" applyFill="1" applyBorder="1" applyAlignment="1">
      <alignment vertical="center"/>
    </xf>
    <xf numFmtId="38" fontId="3" fillId="0" borderId="37" xfId="0" applyNumberFormat="1" applyFont="1" applyFill="1" applyBorder="1" applyAlignment="1">
      <alignment vertical="center"/>
    </xf>
    <xf numFmtId="38" fontId="3" fillId="0" borderId="29" xfId="0" applyNumberFormat="1" applyFont="1" applyFill="1" applyBorder="1" applyAlignment="1">
      <alignment vertical="center"/>
    </xf>
    <xf numFmtId="38" fontId="3" fillId="0" borderId="34" xfId="0" applyNumberFormat="1" applyFont="1" applyFill="1" applyBorder="1" applyAlignment="1">
      <alignment vertical="center"/>
    </xf>
    <xf numFmtId="38" fontId="3" fillId="0" borderId="39" xfId="0" applyNumberFormat="1" applyFont="1" applyFill="1" applyBorder="1" applyAlignment="1">
      <alignment vertical="center"/>
    </xf>
    <xf numFmtId="38" fontId="3" fillId="0" borderId="25" xfId="0" applyNumberFormat="1" applyFont="1" applyFill="1" applyBorder="1" applyAlignment="1">
      <alignment vertical="center"/>
    </xf>
    <xf numFmtId="38" fontId="3" fillId="0" borderId="0" xfId="0" applyNumberFormat="1" applyFont="1" applyFill="1" applyBorder="1" applyAlignment="1">
      <alignment vertical="center"/>
    </xf>
    <xf numFmtId="38" fontId="3" fillId="0" borderId="53" xfId="0" applyNumberFormat="1" applyFont="1" applyFill="1" applyBorder="1" applyAlignment="1">
      <alignment vertical="center"/>
    </xf>
    <xf numFmtId="0" fontId="6" fillId="0" borderId="0" xfId="0" applyFont="1" applyFill="1" applyBorder="1" applyAlignment="1">
      <alignment horizontal="left" vertical="center"/>
    </xf>
    <xf numFmtId="186" fontId="4" fillId="0" borderId="3" xfId="0" applyNumberFormat="1" applyFont="1" applyFill="1" applyBorder="1" applyAlignment="1">
      <alignment horizontal="right" vertical="center" shrinkToFit="1"/>
    </xf>
    <xf numFmtId="186" fontId="4" fillId="0" borderId="50" xfId="0" applyNumberFormat="1" applyFont="1" applyFill="1" applyBorder="1" applyAlignment="1">
      <alignment horizontal="right" vertical="center" shrinkToFit="1"/>
    </xf>
    <xf numFmtId="0" fontId="6" fillId="0" borderId="8" xfId="0" applyFont="1" applyFill="1" applyBorder="1" applyAlignment="1">
      <alignment horizontal="center" vertical="center"/>
    </xf>
    <xf numFmtId="0" fontId="6" fillId="0" borderId="22" xfId="0" applyFont="1" applyFill="1" applyBorder="1" applyAlignment="1">
      <alignment horizontal="center" vertical="center"/>
    </xf>
    <xf numFmtId="186" fontId="4" fillId="0" borderId="28" xfId="0" applyNumberFormat="1" applyFont="1" applyFill="1" applyBorder="1" applyAlignment="1">
      <alignment horizontal="right" vertical="center" shrinkToFit="1"/>
    </xf>
    <xf numFmtId="186" fontId="4" fillId="0" borderId="30" xfId="0" applyNumberFormat="1" applyFont="1" applyFill="1" applyBorder="1" applyAlignment="1">
      <alignment horizontal="right" vertical="center" shrinkToFit="1"/>
    </xf>
    <xf numFmtId="186" fontId="4" fillId="0" borderId="15" xfId="0" applyNumberFormat="1" applyFont="1" applyFill="1" applyBorder="1" applyAlignment="1">
      <alignment horizontal="right" vertical="center" shrinkToFit="1"/>
    </xf>
    <xf numFmtId="186" fontId="4" fillId="0" borderId="21" xfId="0" applyNumberFormat="1" applyFont="1" applyFill="1" applyBorder="1" applyAlignment="1">
      <alignment horizontal="right" vertical="center" shrinkToFit="1"/>
    </xf>
    <xf numFmtId="0" fontId="24" fillId="0" borderId="0" xfId="4" applyFont="1" applyFill="1" applyBorder="1" applyAlignment="1">
      <alignment horizontal="left" vertical="center"/>
    </xf>
    <xf numFmtId="0" fontId="24" fillId="0" borderId="0" xfId="4" applyFont="1" applyFill="1" applyBorder="1" applyAlignment="1">
      <alignment vertical="center"/>
    </xf>
    <xf numFmtId="0" fontId="24" fillId="0" borderId="0" xfId="4" applyFont="1" applyFill="1" applyBorder="1" applyAlignment="1">
      <alignment horizontal="center" vertical="center"/>
    </xf>
    <xf numFmtId="0" fontId="5" fillId="2" borderId="53" xfId="0" applyFont="1" applyFill="1" applyBorder="1" applyAlignment="1">
      <alignment horizontal="center" vertical="center"/>
    </xf>
    <xf numFmtId="0" fontId="5" fillId="5" borderId="53" xfId="0" applyFont="1" applyFill="1" applyBorder="1" applyAlignment="1">
      <alignment horizontal="center" vertical="center"/>
    </xf>
    <xf numFmtId="0" fontId="3" fillId="0" borderId="0" xfId="0" applyFont="1" applyFill="1" applyBorder="1" applyAlignment="1">
      <alignment horizontal="left" vertical="center"/>
    </xf>
    <xf numFmtId="177" fontId="6" fillId="0" borderId="57" xfId="3" applyNumberFormat="1" applyFont="1" applyFill="1" applyBorder="1" applyAlignment="1">
      <alignment vertical="top" wrapText="1"/>
    </xf>
    <xf numFmtId="177" fontId="6" fillId="0" borderId="61" xfId="3" applyNumberFormat="1" applyFont="1" applyFill="1" applyBorder="1" applyAlignment="1">
      <alignment vertical="top" wrapText="1"/>
    </xf>
    <xf numFmtId="0" fontId="6" fillId="0" borderId="0" xfId="3" applyFont="1" applyBorder="1" applyAlignment="1">
      <alignment vertical="center"/>
    </xf>
    <xf numFmtId="177" fontId="6" fillId="0" borderId="0" xfId="3" applyNumberFormat="1" applyFont="1" applyFill="1" applyBorder="1" applyAlignment="1">
      <alignment vertical="center"/>
    </xf>
    <xf numFmtId="0" fontId="6" fillId="0" borderId="0" xfId="3" applyFont="1" applyBorder="1" applyAlignment="1">
      <alignment horizontal="distributed" vertical="center"/>
    </xf>
    <xf numFmtId="177" fontId="6" fillId="0" borderId="63" xfId="3" applyNumberFormat="1" applyFont="1" applyFill="1" applyBorder="1" applyAlignment="1">
      <alignment vertical="top" wrapText="1"/>
    </xf>
    <xf numFmtId="177" fontId="6" fillId="0" borderId="56" xfId="3" applyNumberFormat="1" applyFont="1" applyFill="1" applyBorder="1" applyAlignment="1">
      <alignment vertical="top" wrapText="1"/>
    </xf>
    <xf numFmtId="177" fontId="6" fillId="0" borderId="60" xfId="3" applyNumberFormat="1" applyFont="1" applyFill="1" applyBorder="1" applyAlignment="1">
      <alignment vertical="top" wrapText="1"/>
    </xf>
    <xf numFmtId="177" fontId="6" fillId="0" borderId="62" xfId="3" applyNumberFormat="1" applyFont="1" applyFill="1" applyBorder="1" applyAlignment="1">
      <alignment vertical="top" wrapText="1"/>
    </xf>
    <xf numFmtId="0" fontId="6" fillId="0" borderId="0" xfId="3" applyFont="1" applyBorder="1" applyAlignment="1">
      <alignment horizontal="distributed" vertical="center" justifyLastLine="1"/>
    </xf>
    <xf numFmtId="0" fontId="6" fillId="0" borderId="0" xfId="3" applyFont="1" applyBorder="1" applyAlignment="1">
      <alignment vertical="top" wrapText="1"/>
    </xf>
    <xf numFmtId="177" fontId="6" fillId="0" borderId="0" xfId="3" applyNumberFormat="1" applyFont="1" applyFill="1" applyBorder="1" applyAlignment="1">
      <alignment vertical="top" wrapText="1"/>
    </xf>
    <xf numFmtId="0" fontId="6" fillId="0" borderId="0" xfId="3" applyFont="1" applyBorder="1" applyAlignment="1">
      <alignment horizontal="left" vertical="top" wrapText="1"/>
    </xf>
    <xf numFmtId="177" fontId="6" fillId="0" borderId="0" xfId="3" applyNumberFormat="1" applyFont="1" applyFill="1" applyBorder="1" applyAlignment="1">
      <alignment horizontal="left" vertical="top" wrapText="1"/>
    </xf>
    <xf numFmtId="0" fontId="6" fillId="0" borderId="0" xfId="3" applyFont="1" applyBorder="1" applyAlignment="1">
      <alignment horizontal="left" vertical="top" justifyLastLine="1"/>
    </xf>
    <xf numFmtId="0" fontId="6" fillId="0" borderId="53" xfId="3" applyFont="1" applyBorder="1" applyAlignment="1">
      <alignment horizontal="left" vertical="top" wrapText="1"/>
    </xf>
    <xf numFmtId="177" fontId="6" fillId="0" borderId="53" xfId="3" applyNumberFormat="1" applyFont="1" applyFill="1" applyBorder="1" applyAlignment="1">
      <alignment horizontal="left" vertical="center" wrapText="1"/>
    </xf>
    <xf numFmtId="177" fontId="6" fillId="0" borderId="53" xfId="3" applyNumberFormat="1" applyFont="1" applyFill="1" applyBorder="1" applyAlignment="1">
      <alignment horizontal="left" vertical="top" wrapText="1"/>
    </xf>
    <xf numFmtId="0" fontId="6" fillId="0" borderId="25" xfId="3" applyFont="1" applyBorder="1" applyAlignment="1">
      <alignment horizontal="left" vertical="top" wrapText="1"/>
    </xf>
    <xf numFmtId="177" fontId="6" fillId="0" borderId="25" xfId="3" applyNumberFormat="1" applyFont="1" applyFill="1" applyBorder="1" applyAlignment="1">
      <alignment horizontal="left" vertical="top" wrapText="1"/>
    </xf>
    <xf numFmtId="0" fontId="6" fillId="0" borderId="23" xfId="3" applyFont="1" applyBorder="1" applyAlignment="1">
      <alignment horizontal="left" vertical="top" wrapText="1"/>
    </xf>
    <xf numFmtId="177" fontId="6" fillId="0" borderId="23" xfId="3" applyNumberFormat="1" applyFont="1" applyFill="1" applyBorder="1" applyAlignment="1">
      <alignment horizontal="left" vertical="center" wrapText="1"/>
    </xf>
    <xf numFmtId="177" fontId="6" fillId="0" borderId="23" xfId="3" applyNumberFormat="1" applyFont="1" applyFill="1" applyBorder="1" applyAlignment="1">
      <alignment horizontal="left" vertical="top" wrapText="1"/>
    </xf>
    <xf numFmtId="177" fontId="6" fillId="0" borderId="25" xfId="3" applyNumberFormat="1" applyFont="1" applyFill="1" applyBorder="1" applyAlignment="1">
      <alignment horizontal="left" vertical="center" wrapText="1"/>
    </xf>
    <xf numFmtId="0" fontId="6" fillId="2" borderId="53" xfId="3" applyFont="1" applyFill="1" applyBorder="1" applyAlignment="1">
      <alignment horizontal="left" vertical="center" justifyLastLine="1"/>
    </xf>
    <xf numFmtId="0" fontId="6" fillId="3" borderId="53" xfId="3" applyFont="1" applyFill="1" applyBorder="1" applyAlignment="1">
      <alignment horizontal="left" vertical="top"/>
    </xf>
    <xf numFmtId="0" fontId="6" fillId="3" borderId="53" xfId="3" applyFont="1" applyFill="1" applyBorder="1" applyAlignment="1">
      <alignment horizontal="left" vertical="top" wrapText="1"/>
    </xf>
    <xf numFmtId="0" fontId="6" fillId="2" borderId="53" xfId="3" applyFont="1" applyFill="1" applyBorder="1" applyAlignment="1">
      <alignment horizontal="left" vertical="top" justifyLastLine="1"/>
    </xf>
    <xf numFmtId="177" fontId="6" fillId="0" borderId="19" xfId="3" applyNumberFormat="1" applyFont="1" applyFill="1" applyBorder="1" applyAlignment="1">
      <alignment horizontal="center" vertical="top"/>
    </xf>
    <xf numFmtId="177" fontId="6" fillId="0" borderId="19" xfId="3" applyNumberFormat="1" applyFont="1" applyFill="1" applyBorder="1" applyAlignment="1">
      <alignment horizontal="center" vertical="top" wrapText="1"/>
    </xf>
    <xf numFmtId="0" fontId="6" fillId="0" borderId="3" xfId="3" applyFont="1" applyBorder="1" applyAlignment="1">
      <alignment horizontal="left" vertical="top" wrapText="1"/>
    </xf>
    <xf numFmtId="177" fontId="6" fillId="0" borderId="3" xfId="3" applyNumberFormat="1" applyFont="1" applyFill="1" applyBorder="1" applyAlignment="1">
      <alignment horizontal="left" vertical="top" wrapText="1"/>
    </xf>
    <xf numFmtId="177" fontId="6" fillId="0" borderId="21" xfId="3" applyNumberFormat="1" applyFont="1" applyFill="1" applyBorder="1" applyAlignment="1">
      <alignment horizontal="center" vertical="top" wrapText="1"/>
    </xf>
    <xf numFmtId="0" fontId="6" fillId="0" borderId="0" xfId="3" applyFont="1" applyBorder="1" applyAlignment="1">
      <alignment horizontal="center" vertical="center" justifyLastLine="1"/>
    </xf>
    <xf numFmtId="0" fontId="6" fillId="2" borderId="59" xfId="3" applyFont="1" applyFill="1" applyBorder="1" applyAlignment="1">
      <alignment horizontal="distributed" vertical="center" justifyLastLine="1"/>
    </xf>
    <xf numFmtId="0" fontId="6" fillId="2" borderId="61" xfId="3" applyFont="1" applyFill="1" applyBorder="1" applyAlignment="1">
      <alignment horizontal="distributed" vertical="center" justifyLastLine="1"/>
    </xf>
    <xf numFmtId="0" fontId="6" fillId="3" borderId="12" xfId="3" applyFont="1" applyFill="1" applyBorder="1" applyAlignment="1">
      <alignment horizontal="center" vertical="top"/>
    </xf>
    <xf numFmtId="0" fontId="6" fillId="3" borderId="12" xfId="3" applyFont="1" applyFill="1" applyBorder="1" applyAlignment="1">
      <alignment horizontal="center" vertical="center"/>
    </xf>
    <xf numFmtId="0" fontId="6" fillId="3" borderId="20" xfId="3" applyFont="1" applyFill="1" applyBorder="1" applyAlignment="1">
      <alignment horizontal="center" vertical="top"/>
    </xf>
    <xf numFmtId="0" fontId="6" fillId="0" borderId="53" xfId="3" applyFont="1" applyBorder="1" applyAlignment="1">
      <alignment vertical="top" wrapText="1"/>
    </xf>
    <xf numFmtId="177" fontId="6" fillId="0" borderId="53" xfId="3" applyNumberFormat="1" applyFont="1" applyFill="1" applyBorder="1" applyAlignment="1">
      <alignment vertical="top" wrapText="1"/>
    </xf>
    <xf numFmtId="177" fontId="6" fillId="0" borderId="53" xfId="3" applyNumberFormat="1" applyFont="1" applyFill="1" applyBorder="1" applyAlignment="1">
      <alignment vertical="top"/>
    </xf>
    <xf numFmtId="0" fontId="6" fillId="2" borderId="53" xfId="3" applyFont="1" applyFill="1" applyBorder="1" applyAlignment="1">
      <alignment horizontal="distributed" vertical="center" justifyLastLine="1"/>
    </xf>
    <xf numFmtId="177" fontId="6" fillId="2" borderId="53" xfId="3" applyNumberFormat="1" applyFont="1" applyFill="1" applyBorder="1" applyAlignment="1">
      <alignment horizontal="distributed" vertical="center" justifyLastLine="1"/>
    </xf>
    <xf numFmtId="177" fontId="6" fillId="2" borderId="53" xfId="3" applyNumberFormat="1" applyFont="1" applyFill="1" applyBorder="1" applyAlignment="1">
      <alignment horizontal="distributed" vertical="center" wrapText="1" justifyLastLine="1"/>
    </xf>
    <xf numFmtId="0" fontId="6" fillId="3" borderId="53" xfId="3" applyFont="1" applyFill="1" applyBorder="1" applyAlignment="1">
      <alignment horizontal="center" vertical="center"/>
    </xf>
    <xf numFmtId="0" fontId="6" fillId="3" borderId="53" xfId="3" applyFont="1" applyFill="1" applyBorder="1" applyAlignment="1">
      <alignment horizontal="distributed" vertical="top" wrapText="1" justifyLastLine="1"/>
    </xf>
    <xf numFmtId="0" fontId="6" fillId="3" borderId="53" xfId="3" applyFont="1" applyFill="1" applyBorder="1" applyAlignment="1">
      <alignment horizontal="left" vertical="top" wrapText="1" justifyLastLine="1"/>
    </xf>
    <xf numFmtId="0" fontId="6" fillId="3" borderId="53" xfId="3" applyFont="1" applyFill="1" applyBorder="1" applyAlignment="1">
      <alignment horizontal="center" vertical="top"/>
    </xf>
    <xf numFmtId="177" fontId="6" fillId="2" borderId="53" xfId="3" applyNumberFormat="1" applyFont="1" applyFill="1" applyBorder="1" applyAlignment="1">
      <alignment horizontal="left" vertical="top" justifyLastLine="1"/>
    </xf>
    <xf numFmtId="177" fontId="6" fillId="2" borderId="53" xfId="3" applyNumberFormat="1" applyFont="1" applyFill="1" applyBorder="1" applyAlignment="1">
      <alignment horizontal="left" vertical="top" wrapText="1" justifyLastLine="1"/>
    </xf>
    <xf numFmtId="177" fontId="6" fillId="0" borderId="53" xfId="3" applyNumberFormat="1" applyFont="1" applyFill="1" applyBorder="1" applyAlignment="1">
      <alignment horizontal="left" vertical="top"/>
    </xf>
    <xf numFmtId="0" fontId="3" fillId="0" borderId="0" xfId="0" applyFont="1" applyFill="1" applyBorder="1" applyAlignment="1">
      <alignment horizontal="left" vertical="top"/>
    </xf>
    <xf numFmtId="177" fontId="6" fillId="0" borderId="8" xfId="3" applyNumberFormat="1" applyFont="1" applyFill="1" applyBorder="1" applyAlignment="1">
      <alignment horizontal="left" vertical="top" wrapText="1"/>
    </xf>
    <xf numFmtId="177" fontId="6" fillId="2" borderId="18" xfId="3" applyNumberFormat="1" applyFont="1" applyFill="1" applyBorder="1" applyAlignment="1">
      <alignment horizontal="left" vertical="center" wrapText="1" justifyLastLine="1"/>
    </xf>
    <xf numFmtId="177" fontId="6" fillId="0" borderId="54" xfId="3" applyNumberFormat="1" applyFont="1" applyFill="1" applyBorder="1" applyAlignment="1">
      <alignment horizontal="left" vertical="top" wrapText="1"/>
    </xf>
    <xf numFmtId="177" fontId="6" fillId="0" borderId="61" xfId="3" applyNumberFormat="1" applyFont="1" applyFill="1" applyBorder="1" applyAlignment="1">
      <alignment horizontal="left" vertical="center" wrapText="1" justifyLastLine="1"/>
    </xf>
    <xf numFmtId="0" fontId="5" fillId="0" borderId="0" xfId="0" applyFont="1" applyFill="1" applyBorder="1" applyAlignment="1">
      <alignment horizontal="right"/>
    </xf>
    <xf numFmtId="0" fontId="6" fillId="0" borderId="65" xfId="3" applyFont="1" applyBorder="1" applyAlignment="1">
      <alignment vertical="top" wrapText="1" justifyLastLine="1"/>
    </xf>
    <xf numFmtId="0" fontId="6" fillId="0" borderId="58" xfId="3" applyFont="1" applyBorder="1" applyAlignment="1">
      <alignment vertical="top" wrapText="1" justifyLastLine="1"/>
    </xf>
    <xf numFmtId="0" fontId="6" fillId="0" borderId="58" xfId="3" applyFont="1" applyBorder="1" applyAlignment="1">
      <alignment vertical="top" wrapText="1"/>
    </xf>
    <xf numFmtId="0" fontId="6" fillId="0" borderId="59" xfId="3" applyFont="1" applyBorder="1" applyAlignment="1">
      <alignment vertical="top" wrapText="1" justifyLastLine="1"/>
    </xf>
    <xf numFmtId="0" fontId="6" fillId="2" borderId="55" xfId="3" applyFont="1" applyFill="1" applyBorder="1" applyAlignment="1">
      <alignment horizontal="distributed" vertical="center" justifyLastLine="1"/>
    </xf>
    <xf numFmtId="177" fontId="6" fillId="2" borderId="69" xfId="3" applyNumberFormat="1" applyFont="1" applyFill="1" applyBorder="1" applyAlignment="1">
      <alignment horizontal="distributed" vertical="center" wrapText="1" justifyLastLine="1"/>
    </xf>
    <xf numFmtId="177" fontId="6" fillId="2" borderId="67" xfId="3" applyNumberFormat="1" applyFont="1" applyFill="1" applyBorder="1" applyAlignment="1">
      <alignment horizontal="distributed" vertical="center" wrapText="1" justifyLastLine="1"/>
    </xf>
    <xf numFmtId="0" fontId="5" fillId="5" borderId="53" xfId="0" applyFont="1" applyFill="1" applyBorder="1" applyAlignment="1">
      <alignment horizontal="center" vertical="center"/>
    </xf>
    <xf numFmtId="178" fontId="9" fillId="0" borderId="29" xfId="0" applyNumberFormat="1" applyFont="1" applyFill="1" applyBorder="1" applyAlignment="1">
      <alignment vertical="center"/>
    </xf>
    <xf numFmtId="0" fontId="5" fillId="2" borderId="53" xfId="0" applyFont="1" applyFill="1" applyBorder="1" applyAlignment="1">
      <alignment horizontal="center" vertical="center"/>
    </xf>
    <xf numFmtId="0" fontId="6" fillId="2" borderId="53" xfId="0" applyFont="1" applyFill="1" applyBorder="1" applyAlignment="1">
      <alignment horizontal="center" vertical="center"/>
    </xf>
    <xf numFmtId="177" fontId="4" fillId="0" borderId="70" xfId="2" applyNumberFormat="1" applyFont="1" applyFill="1" applyBorder="1" applyAlignment="1">
      <alignment vertical="center"/>
    </xf>
    <xf numFmtId="177" fontId="4" fillId="0" borderId="71" xfId="2" applyNumberFormat="1" applyFont="1" applyFill="1" applyBorder="1" applyAlignment="1">
      <alignment vertical="center"/>
    </xf>
    <xf numFmtId="177" fontId="4" fillId="0" borderId="72" xfId="2" applyNumberFormat="1" applyFont="1" applyFill="1" applyBorder="1" applyAlignment="1">
      <alignment vertical="center"/>
    </xf>
    <xf numFmtId="38" fontId="4" fillId="0" borderId="49" xfId="1" applyFont="1" applyFill="1" applyBorder="1" applyAlignment="1">
      <alignment vertical="center"/>
    </xf>
    <xf numFmtId="38" fontId="4" fillId="0" borderId="50" xfId="1" applyFont="1" applyFill="1" applyBorder="1" applyAlignment="1">
      <alignment vertical="center"/>
    </xf>
    <xf numFmtId="38" fontId="3" fillId="0" borderId="11" xfId="1" applyNumberFormat="1" applyFont="1" applyFill="1" applyBorder="1" applyAlignment="1">
      <alignment horizontal="right" vertical="center"/>
    </xf>
    <xf numFmtId="38" fontId="4" fillId="0" borderId="71" xfId="1" applyFont="1" applyFill="1" applyBorder="1" applyAlignment="1">
      <alignment vertical="center"/>
    </xf>
    <xf numFmtId="38" fontId="4" fillId="0" borderId="72" xfId="1" applyFont="1" applyFill="1" applyBorder="1" applyAlignment="1">
      <alignment vertical="center"/>
    </xf>
    <xf numFmtId="0" fontId="5" fillId="2" borderId="53" xfId="0" applyFont="1" applyFill="1" applyBorder="1" applyAlignment="1">
      <alignment horizontal="center" vertical="center"/>
    </xf>
    <xf numFmtId="0" fontId="5" fillId="0" borderId="53" xfId="0" applyFont="1" applyFill="1" applyBorder="1" applyAlignment="1">
      <alignment horizontal="center" vertical="center" wrapText="1"/>
    </xf>
    <xf numFmtId="0" fontId="5" fillId="3" borderId="37" xfId="0" applyFont="1" applyFill="1" applyBorder="1" applyAlignment="1">
      <alignment horizontal="center" vertical="center"/>
    </xf>
    <xf numFmtId="176" fontId="4" fillId="0" borderId="37" xfId="0" applyNumberFormat="1" applyFont="1" applyFill="1" applyBorder="1" applyAlignment="1">
      <alignment vertical="center"/>
    </xf>
    <xf numFmtId="176" fontId="4" fillId="0" borderId="2" xfId="0" applyNumberFormat="1" applyFont="1" applyFill="1" applyBorder="1" applyAlignment="1">
      <alignment horizontal="right" vertical="center"/>
    </xf>
    <xf numFmtId="178" fontId="9" fillId="0" borderId="37" xfId="0" applyNumberFormat="1" applyFont="1" applyFill="1" applyBorder="1" applyAlignment="1">
      <alignment vertical="center"/>
    </xf>
    <xf numFmtId="0" fontId="6" fillId="2" borderId="53"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19" xfId="0" applyFont="1" applyFill="1" applyBorder="1" applyAlignment="1">
      <alignment horizontal="left" vertical="center"/>
    </xf>
    <xf numFmtId="180" fontId="6" fillId="0" borderId="12" xfId="0" applyNumberFormat="1" applyFont="1" applyFill="1" applyBorder="1" applyAlignment="1">
      <alignment horizontal="left" vertical="center"/>
    </xf>
    <xf numFmtId="180" fontId="6" fillId="0" borderId="19" xfId="0" applyNumberFormat="1" applyFont="1" applyFill="1" applyBorder="1" applyAlignment="1">
      <alignment horizontal="left" vertical="center"/>
    </xf>
    <xf numFmtId="0" fontId="6" fillId="0" borderId="1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2" borderId="53" xfId="0" applyFont="1" applyFill="1" applyBorder="1" applyAlignment="1">
      <alignment horizontal="center" vertical="center"/>
    </xf>
    <xf numFmtId="0" fontId="6" fillId="3" borderId="37" xfId="0" applyFont="1" applyFill="1" applyBorder="1" applyAlignment="1">
      <alignment vertical="center"/>
    </xf>
    <xf numFmtId="38" fontId="4" fillId="0" borderId="38" xfId="1" applyFont="1" applyFill="1" applyBorder="1" applyAlignment="1">
      <alignment horizontal="right" vertical="center"/>
    </xf>
    <xf numFmtId="38" fontId="4" fillId="0" borderId="2" xfId="1" quotePrefix="1" applyFont="1" applyFill="1" applyBorder="1" applyAlignment="1">
      <alignment horizontal="right" vertical="center"/>
    </xf>
    <xf numFmtId="38" fontId="4" fillId="0" borderId="45" xfId="1" applyFont="1" applyFill="1" applyBorder="1" applyAlignment="1">
      <alignment vertical="center"/>
    </xf>
    <xf numFmtId="0" fontId="5" fillId="0" borderId="14" xfId="0" applyFont="1" applyFill="1" applyBorder="1" applyAlignment="1">
      <alignment vertical="center" shrinkToFit="1"/>
    </xf>
    <xf numFmtId="184" fontId="6" fillId="0" borderId="2" xfId="1" applyNumberFormat="1" applyFont="1" applyFill="1" applyBorder="1" applyAlignment="1">
      <alignment horizontal="left" vertical="center"/>
    </xf>
    <xf numFmtId="176" fontId="9" fillId="0" borderId="32" xfId="0" applyNumberFormat="1" applyFont="1" applyFill="1" applyBorder="1" applyAlignment="1">
      <alignment vertical="center"/>
    </xf>
    <xf numFmtId="176" fontId="6" fillId="3" borderId="37" xfId="0" applyNumberFormat="1" applyFont="1" applyFill="1" applyBorder="1" applyAlignment="1">
      <alignment horizontal="center" vertical="center"/>
    </xf>
    <xf numFmtId="176" fontId="6" fillId="3" borderId="29" xfId="0" applyNumberFormat="1" applyFont="1" applyFill="1" applyBorder="1" applyAlignment="1">
      <alignment horizontal="center" vertical="center"/>
    </xf>
    <xf numFmtId="176" fontId="6" fillId="3" borderId="31" xfId="0" applyNumberFormat="1" applyFont="1" applyFill="1" applyBorder="1" applyAlignment="1">
      <alignment horizontal="center" vertical="center"/>
    </xf>
    <xf numFmtId="187" fontId="3" fillId="0" borderId="33" xfId="1" applyNumberFormat="1" applyFont="1" applyFill="1" applyBorder="1" applyAlignment="1">
      <alignment vertical="center"/>
    </xf>
    <xf numFmtId="176" fontId="4" fillId="0" borderId="18" xfId="0" applyNumberFormat="1" applyFont="1" applyFill="1" applyBorder="1" applyAlignment="1">
      <alignment vertical="center"/>
    </xf>
    <xf numFmtId="176" fontId="4" fillId="0" borderId="17" xfId="0" applyNumberFormat="1" applyFont="1" applyFill="1" applyBorder="1" applyAlignment="1">
      <alignment vertical="center"/>
    </xf>
    <xf numFmtId="0" fontId="5" fillId="4" borderId="37"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1" xfId="0" applyFont="1" applyFill="1" applyBorder="1" applyAlignment="1">
      <alignment horizontal="center" vertical="center"/>
    </xf>
    <xf numFmtId="0" fontId="5" fillId="0" borderId="19" xfId="0" applyFont="1" applyFill="1" applyBorder="1" applyAlignment="1">
      <alignment horizontal="center" vertical="center"/>
    </xf>
    <xf numFmtId="176" fontId="6" fillId="4" borderId="27" xfId="0" applyNumberFormat="1" applyFont="1" applyFill="1" applyBorder="1" applyAlignment="1">
      <alignment horizontal="center" vertical="center"/>
    </xf>
    <xf numFmtId="177" fontId="9" fillId="0" borderId="2" xfId="0" applyNumberFormat="1" applyFont="1" applyFill="1" applyBorder="1" applyAlignment="1">
      <alignment vertical="center"/>
    </xf>
    <xf numFmtId="178" fontId="9" fillId="0" borderId="38" xfId="0" applyNumberFormat="1" applyFont="1" applyFill="1" applyBorder="1" applyAlignment="1">
      <alignment vertical="center"/>
    </xf>
    <xf numFmtId="0" fontId="5" fillId="4" borderId="5"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19" xfId="0" applyFont="1" applyFill="1" applyBorder="1" applyAlignment="1">
      <alignment horizontal="left" vertical="center"/>
    </xf>
    <xf numFmtId="180" fontId="6" fillId="0" borderId="12" xfId="0" applyNumberFormat="1" applyFont="1" applyFill="1" applyBorder="1" applyAlignment="1">
      <alignment horizontal="left" vertical="center"/>
    </xf>
    <xf numFmtId="180" fontId="6" fillId="0" borderId="19" xfId="0" applyNumberFormat="1" applyFont="1" applyFill="1" applyBorder="1" applyAlignment="1">
      <alignment horizontal="left" vertical="center"/>
    </xf>
    <xf numFmtId="0" fontId="6" fillId="0" borderId="1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9" xfId="0" applyFont="1" applyFill="1" applyBorder="1" applyAlignment="1">
      <alignment horizontal="left" vertical="center" shrinkToFit="1"/>
    </xf>
    <xf numFmtId="176" fontId="4" fillId="0" borderId="1" xfId="0" applyNumberFormat="1" applyFont="1" applyFill="1" applyBorder="1" applyAlignment="1">
      <alignment vertical="center" shrinkToFit="1"/>
    </xf>
    <xf numFmtId="176" fontId="4" fillId="0" borderId="5" xfId="0" applyNumberFormat="1" applyFont="1" applyFill="1" applyBorder="1" applyAlignment="1">
      <alignment vertical="center" shrinkToFit="1"/>
    </xf>
    <xf numFmtId="176" fontId="4" fillId="0" borderId="32" xfId="0" applyNumberFormat="1" applyFont="1" applyFill="1" applyBorder="1" applyAlignment="1">
      <alignment vertical="center" shrinkToFit="1"/>
    </xf>
    <xf numFmtId="176" fontId="9" fillId="0" borderId="1" xfId="0" applyNumberFormat="1" applyFont="1" applyFill="1" applyBorder="1" applyAlignment="1">
      <alignment vertical="center"/>
    </xf>
    <xf numFmtId="176" fontId="9" fillId="0" borderId="5" xfId="0" applyNumberFormat="1" applyFont="1" applyFill="1" applyBorder="1" applyAlignment="1">
      <alignment vertical="center"/>
    </xf>
    <xf numFmtId="176" fontId="9" fillId="0" borderId="27" xfId="0" applyNumberFormat="1" applyFont="1" applyFill="1" applyBorder="1" applyAlignment="1">
      <alignment vertical="center"/>
    </xf>
    <xf numFmtId="176" fontId="9" fillId="0" borderId="13" xfId="0" applyNumberFormat="1" applyFont="1" applyFill="1" applyBorder="1" applyAlignment="1">
      <alignment horizontal="right" vertical="center"/>
    </xf>
    <xf numFmtId="176" fontId="9" fillId="0" borderId="4" xfId="0" applyNumberFormat="1" applyFont="1" applyFill="1" applyBorder="1" applyAlignment="1">
      <alignment horizontal="right" vertical="center"/>
    </xf>
    <xf numFmtId="176" fontId="9" fillId="0" borderId="11" xfId="0" applyNumberFormat="1" applyFont="1" applyFill="1" applyBorder="1" applyAlignment="1">
      <alignment horizontal="right" vertical="center"/>
    </xf>
    <xf numFmtId="178" fontId="9" fillId="0" borderId="31" xfId="0" applyNumberFormat="1" applyFont="1" applyFill="1" applyBorder="1" applyAlignment="1">
      <alignment vertical="center"/>
    </xf>
    <xf numFmtId="176" fontId="9" fillId="0" borderId="2" xfId="0" applyNumberFormat="1" applyFont="1" applyFill="1" applyBorder="1" applyAlignment="1">
      <alignment horizontal="right" vertical="center"/>
    </xf>
    <xf numFmtId="176" fontId="9" fillId="0" borderId="2" xfId="0" applyNumberFormat="1" applyFont="1" applyFill="1" applyBorder="1" applyAlignment="1">
      <alignment vertical="center" shrinkToFit="1"/>
    </xf>
    <xf numFmtId="176" fontId="9" fillId="0" borderId="2" xfId="0" quotePrefix="1" applyNumberFormat="1" applyFont="1" applyFill="1" applyBorder="1" applyAlignment="1">
      <alignment vertical="center"/>
    </xf>
    <xf numFmtId="176" fontId="9" fillId="0" borderId="4" xfId="0" applyNumberFormat="1" applyFont="1" applyFill="1" applyBorder="1" applyAlignment="1">
      <alignment vertical="center" shrinkToFit="1"/>
    </xf>
    <xf numFmtId="176" fontId="9" fillId="0" borderId="4" xfId="0" quotePrefix="1" applyNumberFormat="1" applyFont="1" applyFill="1" applyBorder="1" applyAlignment="1">
      <alignment vertical="center"/>
    </xf>
    <xf numFmtId="176" fontId="9" fillId="0" borderId="11" xfId="0" applyNumberFormat="1" applyFont="1" applyFill="1" applyBorder="1" applyAlignment="1">
      <alignment vertical="center" shrinkToFit="1"/>
    </xf>
    <xf numFmtId="176" fontId="9" fillId="0" borderId="11" xfId="0" quotePrefix="1" applyNumberFormat="1" applyFont="1" applyFill="1" applyBorder="1" applyAlignment="1">
      <alignment vertical="center"/>
    </xf>
    <xf numFmtId="177" fontId="9" fillId="0" borderId="11" xfId="0" applyNumberFormat="1" applyFont="1" applyFill="1" applyBorder="1" applyAlignment="1">
      <alignment vertical="center"/>
    </xf>
    <xf numFmtId="38" fontId="4" fillId="0" borderId="27" xfId="1" applyFont="1" applyFill="1" applyBorder="1" applyAlignment="1">
      <alignment horizontal="right" vertical="center"/>
    </xf>
    <xf numFmtId="38" fontId="4" fillId="0" borderId="13" xfId="1" applyNumberFormat="1" applyFont="1" applyFill="1" applyBorder="1" applyAlignment="1">
      <alignment horizontal="right" vertical="center"/>
    </xf>
    <xf numFmtId="38" fontId="4" fillId="0" borderId="13" xfId="1" quotePrefix="1" applyFont="1" applyFill="1" applyBorder="1" applyAlignment="1">
      <alignment horizontal="right" vertical="center"/>
    </xf>
    <xf numFmtId="177" fontId="4" fillId="0" borderId="27" xfId="2" applyNumberFormat="1" applyFont="1" applyFill="1" applyBorder="1" applyAlignment="1">
      <alignment vertical="center"/>
    </xf>
    <xf numFmtId="177" fontId="4" fillId="0" borderId="5" xfId="2" applyNumberFormat="1" applyFont="1" applyFill="1" applyBorder="1" applyAlignment="1">
      <alignment vertical="center"/>
    </xf>
    <xf numFmtId="177" fontId="4" fillId="0" borderId="40" xfId="2" applyNumberFormat="1" applyFont="1" applyFill="1" applyBorder="1" applyAlignment="1">
      <alignment vertical="center"/>
    </xf>
    <xf numFmtId="177" fontId="4" fillId="0" borderId="44" xfId="2" applyNumberFormat="1" applyFont="1" applyFill="1" applyBorder="1" applyAlignment="1">
      <alignment vertical="center"/>
    </xf>
    <xf numFmtId="177" fontId="4" fillId="0" borderId="1" xfId="2" applyNumberFormat="1" applyFont="1" applyFill="1" applyBorder="1" applyAlignment="1">
      <alignment vertical="center"/>
    </xf>
    <xf numFmtId="38" fontId="4" fillId="0" borderId="40" xfId="1" applyFont="1" applyFill="1" applyBorder="1" applyAlignment="1">
      <alignment vertical="center"/>
    </xf>
    <xf numFmtId="38" fontId="4" fillId="0" borderId="44" xfId="1" applyFont="1" applyFill="1" applyBorder="1" applyAlignment="1">
      <alignment vertical="center"/>
    </xf>
    <xf numFmtId="38" fontId="4" fillId="0" borderId="27" xfId="1" applyFont="1" applyFill="1" applyBorder="1" applyAlignment="1">
      <alignment vertical="center"/>
    </xf>
    <xf numFmtId="38" fontId="3" fillId="0" borderId="27" xfId="1" applyFont="1" applyFill="1" applyBorder="1" applyAlignment="1">
      <alignment vertical="center"/>
    </xf>
    <xf numFmtId="38" fontId="3" fillId="0" borderId="27" xfId="1" applyFont="1" applyFill="1" applyBorder="1" applyAlignment="1">
      <alignment horizontal="right" vertical="center"/>
    </xf>
    <xf numFmtId="38" fontId="3" fillId="0" borderId="32" xfId="1" applyFont="1" applyFill="1" applyBorder="1" applyAlignment="1">
      <alignment horizontal="right" vertical="center"/>
    </xf>
    <xf numFmtId="38" fontId="3" fillId="0" borderId="40" xfId="1" applyFont="1" applyFill="1" applyBorder="1" applyAlignment="1">
      <alignment vertical="center"/>
    </xf>
    <xf numFmtId="177" fontId="4" fillId="0" borderId="35" xfId="2" applyNumberFormat="1" applyFont="1" applyFill="1" applyBorder="1" applyAlignment="1">
      <alignment vertical="center"/>
    </xf>
    <xf numFmtId="185" fontId="4" fillId="0" borderId="32" xfId="2" applyNumberFormat="1" applyFont="1" applyFill="1" applyBorder="1" applyAlignment="1">
      <alignment vertical="center"/>
    </xf>
    <xf numFmtId="0" fontId="5" fillId="2" borderId="53" xfId="0" applyFont="1" applyFill="1" applyBorder="1" applyAlignment="1">
      <alignment horizontal="center" vertical="center"/>
    </xf>
    <xf numFmtId="0" fontId="6" fillId="2" borderId="53"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19" xfId="0" applyFont="1" applyFill="1" applyBorder="1" applyAlignment="1">
      <alignment horizontal="left" vertical="center"/>
    </xf>
    <xf numFmtId="180" fontId="6" fillId="0" borderId="12" xfId="0" applyNumberFormat="1" applyFont="1" applyFill="1" applyBorder="1" applyAlignment="1">
      <alignment horizontal="left" vertical="center"/>
    </xf>
    <xf numFmtId="180" fontId="6" fillId="0" borderId="19" xfId="0" applyNumberFormat="1" applyFont="1" applyFill="1" applyBorder="1" applyAlignment="1">
      <alignment horizontal="left" vertical="center"/>
    </xf>
    <xf numFmtId="0" fontId="6" fillId="0" borderId="1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5" fillId="0" borderId="53" xfId="0" applyFont="1" applyFill="1" applyBorder="1" applyAlignment="1">
      <alignment horizontal="center" vertical="center" wrapText="1"/>
    </xf>
    <xf numFmtId="176" fontId="4" fillId="0" borderId="19" xfId="0" applyNumberFormat="1" applyFont="1" applyFill="1" applyBorder="1" applyAlignment="1">
      <alignment vertical="center"/>
    </xf>
    <xf numFmtId="176" fontId="9" fillId="0" borderId="36"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10" xfId="0" applyNumberFormat="1" applyFont="1" applyFill="1" applyBorder="1" applyAlignment="1">
      <alignment vertical="center"/>
    </xf>
    <xf numFmtId="38" fontId="4" fillId="0" borderId="24" xfId="1" applyFont="1" applyFill="1" applyBorder="1" applyAlignment="1">
      <alignment horizontal="right" vertical="center"/>
    </xf>
    <xf numFmtId="0" fontId="6" fillId="2" borderId="25" xfId="0" applyFont="1" applyFill="1" applyBorder="1" applyAlignment="1">
      <alignment horizontal="center" vertical="center"/>
    </xf>
    <xf numFmtId="179" fontId="6" fillId="2" borderId="25" xfId="0" applyNumberFormat="1" applyFont="1" applyFill="1" applyBorder="1" applyAlignment="1">
      <alignment horizontal="center" vertical="center" wrapText="1"/>
    </xf>
    <xf numFmtId="179" fontId="6" fillId="2" borderId="20" xfId="0" applyNumberFormat="1" applyFont="1" applyFill="1" applyBorder="1" applyAlignment="1">
      <alignment horizontal="center" vertical="center" wrapText="1"/>
    </xf>
    <xf numFmtId="0" fontId="6" fillId="3" borderId="25" xfId="0" applyFont="1" applyFill="1" applyBorder="1" applyAlignment="1">
      <alignment vertical="center"/>
    </xf>
    <xf numFmtId="38" fontId="4" fillId="0" borderId="3" xfId="1" applyFont="1" applyFill="1" applyBorder="1" applyAlignment="1">
      <alignment horizontal="right" vertical="center"/>
    </xf>
    <xf numFmtId="38" fontId="4" fillId="0" borderId="25" xfId="1" applyFont="1" applyFill="1" applyBorder="1" applyAlignment="1">
      <alignment horizontal="right" vertical="center"/>
    </xf>
    <xf numFmtId="38" fontId="4" fillId="0" borderId="21" xfId="1" applyFont="1" applyFill="1" applyBorder="1" applyAlignment="1">
      <alignment vertical="center"/>
    </xf>
    <xf numFmtId="38" fontId="4" fillId="0" borderId="73" xfId="1" applyFont="1" applyFill="1" applyBorder="1" applyAlignment="1">
      <alignment vertical="center"/>
    </xf>
    <xf numFmtId="38" fontId="4" fillId="0" borderId="19" xfId="1" applyFont="1" applyFill="1" applyBorder="1" applyAlignment="1">
      <alignment vertical="center"/>
    </xf>
    <xf numFmtId="176" fontId="9" fillId="0" borderId="4" xfId="0" quotePrefix="1" applyNumberFormat="1" applyFont="1" applyFill="1" applyBorder="1" applyAlignment="1">
      <alignment horizontal="right" vertical="center"/>
    </xf>
    <xf numFmtId="0" fontId="5" fillId="2" borderId="53" xfId="0" applyFont="1" applyFill="1" applyBorder="1" applyAlignment="1">
      <alignment horizontal="center" vertical="center"/>
    </xf>
    <xf numFmtId="0" fontId="6" fillId="2" borderId="53"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19" xfId="0" applyFont="1" applyFill="1" applyBorder="1" applyAlignment="1">
      <alignment horizontal="left" vertical="center"/>
    </xf>
    <xf numFmtId="180" fontId="6" fillId="0" borderId="12" xfId="0" applyNumberFormat="1" applyFont="1" applyFill="1" applyBorder="1" applyAlignment="1">
      <alignment horizontal="left" vertical="center"/>
    </xf>
    <xf numFmtId="180" fontId="6" fillId="0" borderId="19" xfId="0" applyNumberFormat="1" applyFont="1" applyFill="1" applyBorder="1" applyAlignment="1">
      <alignment horizontal="left" vertical="center"/>
    </xf>
    <xf numFmtId="0" fontId="6" fillId="0" borderId="1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5" fillId="0" borderId="53"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24" xfId="0" applyFont="1" applyFill="1" applyBorder="1" applyAlignment="1">
      <alignment vertical="center"/>
    </xf>
    <xf numFmtId="38" fontId="4" fillId="0" borderId="12"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19" xfId="1" applyFont="1" applyFill="1" applyBorder="1" applyAlignment="1">
      <alignment horizontal="right" vertical="center"/>
    </xf>
    <xf numFmtId="0" fontId="6" fillId="3" borderId="63" xfId="0" applyFont="1" applyFill="1" applyBorder="1" applyAlignment="1">
      <alignment vertical="center"/>
    </xf>
    <xf numFmtId="38" fontId="4" fillId="0" borderId="74" xfId="1" applyFont="1" applyFill="1" applyBorder="1" applyAlignment="1">
      <alignment horizontal="right" vertical="center"/>
    </xf>
    <xf numFmtId="38" fontId="4" fillId="0" borderId="57" xfId="1" applyFont="1" applyFill="1" applyBorder="1" applyAlignment="1">
      <alignment horizontal="right" vertical="center"/>
    </xf>
    <xf numFmtId="177" fontId="4" fillId="0" borderId="58" xfId="2" applyNumberFormat="1" applyFont="1" applyFill="1" applyBorder="1" applyAlignment="1">
      <alignment vertical="center"/>
    </xf>
    <xf numFmtId="177" fontId="4" fillId="0" borderId="75" xfId="2" applyNumberFormat="1" applyFont="1" applyFill="1" applyBorder="1" applyAlignment="1">
      <alignment vertical="center"/>
    </xf>
    <xf numFmtId="177" fontId="4" fillId="0" borderId="51" xfId="2" applyNumberFormat="1" applyFont="1" applyFill="1" applyBorder="1" applyAlignment="1">
      <alignment vertical="center"/>
    </xf>
    <xf numFmtId="3" fontId="4" fillId="0" borderId="10" xfId="2" applyNumberFormat="1" applyFont="1" applyFill="1" applyBorder="1" applyAlignment="1">
      <alignment vertical="center"/>
    </xf>
    <xf numFmtId="3" fontId="4" fillId="0" borderId="36" xfId="2" applyNumberFormat="1" applyFont="1" applyFill="1" applyBorder="1" applyAlignment="1">
      <alignment vertical="center"/>
    </xf>
    <xf numFmtId="38" fontId="4" fillId="0" borderId="10" xfId="1" applyFont="1" applyFill="1" applyBorder="1" applyAlignment="1">
      <alignment vertical="center"/>
    </xf>
    <xf numFmtId="0" fontId="5" fillId="0" borderId="53" xfId="0" applyFont="1" applyBorder="1" applyAlignment="1">
      <alignment horizontal="center" vertical="center" wrapText="1"/>
    </xf>
    <xf numFmtId="0" fontId="5" fillId="5" borderId="16"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53" xfId="0" applyFont="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53" xfId="0" applyFont="1" applyFill="1" applyBorder="1" applyAlignment="1">
      <alignment horizontal="center" vertical="center"/>
    </xf>
    <xf numFmtId="0" fontId="6" fillId="0" borderId="53"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2" borderId="53" xfId="0" applyFont="1" applyFill="1" applyBorder="1" applyAlignment="1">
      <alignment horizontal="center" vertical="center"/>
    </xf>
    <xf numFmtId="0" fontId="5" fillId="2" borderId="8" xfId="0" applyFont="1" applyFill="1" applyBorder="1" applyAlignment="1">
      <alignment horizontal="center" vertical="center"/>
    </xf>
    <xf numFmtId="0" fontId="5" fillId="4" borderId="8" xfId="0" applyFont="1" applyFill="1" applyBorder="1" applyAlignment="1">
      <alignment horizontal="left" vertical="center" indent="1"/>
    </xf>
    <xf numFmtId="0" fontId="5" fillId="4" borderId="9" xfId="0" applyFont="1" applyFill="1" applyBorder="1" applyAlignment="1">
      <alignment horizontal="left" vertical="center" indent="1"/>
    </xf>
    <xf numFmtId="0" fontId="5" fillId="4" borderId="22" xfId="0" applyFont="1" applyFill="1" applyBorder="1" applyAlignment="1">
      <alignment horizontal="left" vertical="center" indent="1"/>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5" fillId="4" borderId="22" xfId="0" applyFont="1" applyFill="1" applyBorder="1" applyAlignment="1">
      <alignment horizontal="left"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22"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2" xfId="0" applyFont="1" applyFill="1" applyBorder="1" applyAlignment="1">
      <alignment horizontal="center" vertical="center"/>
    </xf>
    <xf numFmtId="0" fontId="6" fillId="4" borderId="53" xfId="0" applyFont="1" applyFill="1" applyBorder="1" applyAlignment="1">
      <alignment horizontal="center" vertical="center"/>
    </xf>
    <xf numFmtId="0" fontId="6" fillId="2" borderId="53" xfId="0" applyFont="1" applyFill="1" applyBorder="1" applyAlignment="1">
      <alignment horizontal="center" vertical="center" wrapText="1"/>
    </xf>
    <xf numFmtId="179" fontId="6" fillId="0" borderId="8" xfId="0" applyNumberFormat="1" applyFont="1" applyFill="1" applyBorder="1" applyAlignment="1">
      <alignment horizontal="left" vertical="center"/>
    </xf>
    <xf numFmtId="179" fontId="6" fillId="0" borderId="9" xfId="0" applyNumberFormat="1" applyFont="1" applyFill="1" applyBorder="1" applyAlignment="1">
      <alignment horizontal="left" vertical="center"/>
    </xf>
    <xf numFmtId="179" fontId="6" fillId="0" borderId="22" xfId="0" applyNumberFormat="1" applyFont="1" applyFill="1" applyBorder="1" applyAlignment="1">
      <alignment horizontal="left" vertical="center"/>
    </xf>
    <xf numFmtId="0" fontId="6" fillId="5" borderId="23"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25" xfId="0" applyFont="1" applyFill="1" applyBorder="1" applyAlignment="1">
      <alignment horizontal="center" vertical="center"/>
    </xf>
    <xf numFmtId="0" fontId="6" fillId="0" borderId="10" xfId="2" applyNumberFormat="1" applyFont="1" applyFill="1" applyBorder="1" applyAlignment="1">
      <alignment horizontal="center" vertical="top" textRotation="255"/>
    </xf>
    <xf numFmtId="0" fontId="6" fillId="0" borderId="0" xfId="2" applyNumberFormat="1" applyFont="1" applyFill="1" applyBorder="1" applyAlignment="1">
      <alignment horizontal="center" vertical="top" textRotation="255"/>
    </xf>
    <xf numFmtId="0" fontId="6" fillId="0" borderId="2" xfId="2" applyNumberFormat="1" applyFont="1" applyFill="1" applyBorder="1" applyAlignment="1">
      <alignment horizontal="center" vertical="top" textRotation="255"/>
    </xf>
    <xf numFmtId="0" fontId="6" fillId="0" borderId="47" xfId="2" applyNumberFormat="1" applyFont="1" applyFill="1" applyBorder="1" applyAlignment="1">
      <alignment horizontal="center" vertical="top" textRotation="255"/>
    </xf>
    <xf numFmtId="0" fontId="6" fillId="0" borderId="4" xfId="2" applyNumberFormat="1" applyFont="1" applyFill="1" applyBorder="1" applyAlignment="1">
      <alignment horizontal="left" vertical="center" wrapText="1"/>
    </xf>
    <xf numFmtId="0" fontId="6" fillId="0" borderId="4" xfId="2" applyNumberFormat="1" applyFont="1" applyFill="1" applyBorder="1" applyAlignment="1">
      <alignment horizontal="center" vertical="top" textRotation="255"/>
    </xf>
    <xf numFmtId="0" fontId="6" fillId="0" borderId="13" xfId="2" applyNumberFormat="1" applyFont="1" applyFill="1" applyBorder="1" applyAlignment="1">
      <alignment horizontal="left" vertical="center" wrapText="1"/>
    </xf>
    <xf numFmtId="0" fontId="6" fillId="0" borderId="14" xfId="2" applyNumberFormat="1" applyFont="1" applyFill="1" applyBorder="1" applyAlignment="1">
      <alignment horizontal="left" vertical="center" wrapText="1"/>
    </xf>
    <xf numFmtId="0" fontId="6" fillId="0" borderId="30" xfId="2" applyNumberFormat="1" applyFont="1" applyFill="1" applyBorder="1" applyAlignment="1">
      <alignment horizontal="left" vertical="center" wrapText="1"/>
    </xf>
    <xf numFmtId="0" fontId="6" fillId="3" borderId="44" xfId="2" applyNumberFormat="1" applyFont="1" applyFill="1" applyBorder="1" applyAlignment="1">
      <alignment horizontal="center" vertical="center"/>
    </xf>
    <xf numFmtId="0" fontId="6" fillId="3" borderId="45" xfId="2" applyNumberFormat="1" applyFont="1" applyFill="1" applyBorder="1" applyAlignment="1">
      <alignment horizontal="center" vertical="center"/>
    </xf>
    <xf numFmtId="0" fontId="6" fillId="5" borderId="20" xfId="2" applyNumberFormat="1" applyFont="1" applyFill="1" applyBorder="1" applyAlignment="1">
      <alignment horizontal="center" vertical="center"/>
    </xf>
    <xf numFmtId="0" fontId="6" fillId="5" borderId="3" xfId="2" applyNumberFormat="1" applyFont="1" applyFill="1" applyBorder="1" applyAlignment="1">
      <alignment horizontal="center" vertical="center"/>
    </xf>
    <xf numFmtId="0" fontId="6" fillId="3" borderId="27" xfId="2" applyNumberFormat="1" applyFont="1" applyFill="1" applyBorder="1" applyAlignment="1">
      <alignment horizontal="center" vertical="top" textRotation="255"/>
    </xf>
    <xf numFmtId="0" fontId="6" fillId="3" borderId="5" xfId="2" applyNumberFormat="1" applyFont="1" applyFill="1" applyBorder="1" applyAlignment="1">
      <alignment horizontal="center" vertical="top" textRotation="255"/>
    </xf>
    <xf numFmtId="0" fontId="6" fillId="3" borderId="32" xfId="2" applyNumberFormat="1" applyFont="1" applyFill="1" applyBorder="1" applyAlignment="1">
      <alignment horizontal="center" vertical="top" textRotation="255"/>
    </xf>
    <xf numFmtId="0" fontId="6" fillId="0" borderId="3" xfId="2" applyNumberFormat="1" applyFont="1" applyFill="1" applyBorder="1" applyAlignment="1">
      <alignment horizontal="center" vertical="center"/>
    </xf>
    <xf numFmtId="0" fontId="6" fillId="0" borderId="13" xfId="2" applyNumberFormat="1" applyFont="1" applyFill="1" applyBorder="1" applyAlignment="1">
      <alignment horizontal="center" vertical="center"/>
    </xf>
    <xf numFmtId="0" fontId="6" fillId="0" borderId="4" xfId="2" applyNumberFormat="1" applyFont="1" applyFill="1" applyBorder="1" applyAlignment="1">
      <alignment horizontal="center" vertical="center"/>
    </xf>
    <xf numFmtId="0" fontId="6" fillId="0" borderId="14" xfId="2" applyNumberFormat="1" applyFont="1" applyFill="1" applyBorder="1" applyAlignment="1">
      <alignment horizontal="center" vertical="center"/>
    </xf>
    <xf numFmtId="0" fontId="6" fillId="0" borderId="14" xfId="2" applyNumberFormat="1" applyFont="1" applyFill="1" applyBorder="1" applyAlignment="1">
      <alignment horizontal="center" vertical="top" textRotation="255"/>
    </xf>
    <xf numFmtId="0" fontId="6" fillId="0" borderId="13" xfId="2" applyNumberFormat="1" applyFont="1" applyFill="1" applyBorder="1" applyAlignment="1">
      <alignment horizontal="center" vertical="center" wrapText="1"/>
    </xf>
    <xf numFmtId="0" fontId="5" fillId="5" borderId="32"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33" xfId="0" applyFont="1" applyFill="1" applyBorder="1" applyAlignment="1">
      <alignment horizontal="center" vertical="center"/>
    </xf>
    <xf numFmtId="0" fontId="6" fillId="5" borderId="12" xfId="2" applyNumberFormat="1" applyFont="1" applyFill="1" applyBorder="1" applyAlignment="1">
      <alignment horizontal="center" vertical="center"/>
    </xf>
    <xf numFmtId="0" fontId="6" fillId="5" borderId="0" xfId="2" applyNumberFormat="1" applyFont="1" applyFill="1" applyBorder="1" applyAlignment="1">
      <alignment horizontal="center" vertical="center"/>
    </xf>
    <xf numFmtId="0" fontId="6" fillId="3" borderId="48" xfId="2" applyNumberFormat="1" applyFont="1" applyFill="1" applyBorder="1" applyAlignment="1">
      <alignment horizontal="center" vertical="center"/>
    </xf>
    <xf numFmtId="0" fontId="6" fillId="3" borderId="49" xfId="2" applyNumberFormat="1" applyFont="1" applyFill="1" applyBorder="1" applyAlignment="1">
      <alignment horizontal="center" vertical="center"/>
    </xf>
    <xf numFmtId="0" fontId="6" fillId="3" borderId="50" xfId="2" applyNumberFormat="1" applyFont="1" applyFill="1" applyBorder="1" applyAlignment="1">
      <alignment horizontal="center" vertical="center"/>
    </xf>
    <xf numFmtId="0" fontId="6" fillId="0" borderId="10" xfId="2" applyNumberFormat="1" applyFont="1" applyFill="1" applyBorder="1" applyAlignment="1">
      <alignment horizontal="center" vertical="center" textRotation="255"/>
    </xf>
    <xf numFmtId="0" fontId="6" fillId="0" borderId="0" xfId="2" applyNumberFormat="1" applyFont="1" applyFill="1" applyBorder="1" applyAlignment="1">
      <alignment horizontal="center" vertical="center" textRotation="255"/>
    </xf>
    <xf numFmtId="0" fontId="6" fillId="0" borderId="47" xfId="2" applyNumberFormat="1" applyFont="1" applyFill="1" applyBorder="1" applyAlignment="1">
      <alignment horizontal="center" vertical="center" textRotation="255"/>
    </xf>
    <xf numFmtId="0" fontId="6" fillId="0" borderId="4" xfId="2" applyNumberFormat="1" applyFont="1" applyFill="1" applyBorder="1" applyAlignment="1">
      <alignment horizontal="center" vertical="center" textRotation="255"/>
    </xf>
    <xf numFmtId="0" fontId="6" fillId="0" borderId="14" xfId="2" applyNumberFormat="1" applyFont="1" applyFill="1" applyBorder="1" applyAlignment="1">
      <alignment horizontal="center" vertical="center" textRotation="255"/>
    </xf>
    <xf numFmtId="0" fontId="6" fillId="0" borderId="2" xfId="2" applyNumberFormat="1" applyFont="1" applyFill="1" applyBorder="1" applyAlignment="1">
      <alignment horizontal="center" vertical="center" textRotation="255"/>
    </xf>
    <xf numFmtId="0" fontId="6" fillId="3" borderId="46" xfId="2" applyNumberFormat="1" applyFont="1" applyFill="1" applyBorder="1" applyAlignment="1">
      <alignment horizontal="center" vertical="center"/>
    </xf>
    <xf numFmtId="0" fontId="6" fillId="5" borderId="48" xfId="2" applyNumberFormat="1" applyFont="1" applyFill="1" applyBorder="1" applyAlignment="1">
      <alignment horizontal="center" vertical="center"/>
    </xf>
    <xf numFmtId="0" fontId="6" fillId="5" borderId="49" xfId="2" applyNumberFormat="1" applyFont="1" applyFill="1" applyBorder="1" applyAlignment="1">
      <alignment horizontal="center" vertical="center"/>
    </xf>
    <xf numFmtId="0" fontId="6" fillId="5" borderId="50" xfId="2" applyNumberFormat="1" applyFont="1" applyFill="1" applyBorder="1" applyAlignment="1">
      <alignment horizontal="center" vertical="center"/>
    </xf>
    <xf numFmtId="0" fontId="6" fillId="0" borderId="21" xfId="2" applyNumberFormat="1" applyFont="1" applyFill="1" applyBorder="1" applyAlignment="1">
      <alignment horizontal="center" vertical="center"/>
    </xf>
    <xf numFmtId="0" fontId="6" fillId="0" borderId="28" xfId="2" applyNumberFormat="1" applyFont="1" applyFill="1" applyBorder="1" applyAlignment="1">
      <alignment horizontal="center" vertical="center"/>
    </xf>
    <xf numFmtId="0" fontId="6" fillId="0" borderId="28" xfId="2" applyNumberFormat="1" applyFont="1" applyFill="1" applyBorder="1" applyAlignment="1">
      <alignment horizontal="center" vertical="center" wrapText="1"/>
    </xf>
    <xf numFmtId="0" fontId="6" fillId="0" borderId="28" xfId="2" applyNumberFormat="1" applyFont="1" applyFill="1" applyBorder="1" applyAlignment="1">
      <alignment horizontal="left" vertical="center" wrapText="1"/>
    </xf>
    <xf numFmtId="0" fontId="6" fillId="0" borderId="15" xfId="2" applyNumberFormat="1" applyFont="1" applyFill="1" applyBorder="1" applyAlignment="1">
      <alignment horizontal="left" vertical="center" wrapText="1"/>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19" xfId="0" applyFont="1" applyFill="1" applyBorder="1" applyAlignment="1">
      <alignment horizontal="left" vertical="center"/>
    </xf>
    <xf numFmtId="0" fontId="6" fillId="2" borderId="9" xfId="0" applyFont="1" applyFill="1" applyBorder="1" applyAlignment="1">
      <alignment horizontal="center" vertical="center"/>
    </xf>
    <xf numFmtId="180" fontId="6" fillId="0" borderId="12" xfId="0" applyNumberFormat="1" applyFont="1" applyFill="1" applyBorder="1" applyAlignment="1">
      <alignment horizontal="left" vertical="center"/>
    </xf>
    <xf numFmtId="180" fontId="6" fillId="0" borderId="0" xfId="0" applyNumberFormat="1" applyFont="1" applyFill="1" applyBorder="1" applyAlignment="1">
      <alignment horizontal="left" vertical="center"/>
    </xf>
    <xf numFmtId="180" fontId="6" fillId="0" borderId="19" xfId="0" applyNumberFormat="1" applyFont="1" applyFill="1" applyBorder="1" applyAlignment="1">
      <alignment horizontal="left" vertical="center"/>
    </xf>
    <xf numFmtId="0" fontId="6" fillId="0" borderId="1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18" fillId="0" borderId="23" xfId="0" applyFont="1" applyFill="1" applyBorder="1" applyAlignment="1">
      <alignment horizontal="center" vertical="center" textRotation="255"/>
    </xf>
    <xf numFmtId="0" fontId="18" fillId="0" borderId="24" xfId="0" applyFont="1" applyFill="1" applyBorder="1" applyAlignment="1">
      <alignment horizontal="center" vertical="center" textRotation="255"/>
    </xf>
    <xf numFmtId="0" fontId="18" fillId="0" borderId="25" xfId="0" applyFont="1" applyFill="1" applyBorder="1" applyAlignment="1">
      <alignment horizontal="center" vertical="center" textRotation="255"/>
    </xf>
    <xf numFmtId="0" fontId="6" fillId="0" borderId="20"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6" fillId="3" borderId="1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0" xfId="0" applyFont="1" applyFill="1" applyBorder="1" applyAlignment="1">
      <alignment horizontal="center" vertical="center"/>
    </xf>
    <xf numFmtId="0" fontId="5" fillId="0" borderId="53" xfId="0" applyFont="1" applyFill="1" applyBorder="1" applyAlignment="1">
      <alignment horizontal="center" vertical="center" wrapText="1"/>
    </xf>
    <xf numFmtId="0" fontId="5" fillId="3" borderId="5" xfId="0" applyFont="1" applyFill="1" applyBorder="1" applyAlignment="1">
      <alignment vertical="center"/>
    </xf>
    <xf numFmtId="0" fontId="5" fillId="3" borderId="4" xfId="0" applyFont="1" applyFill="1" applyBorder="1" applyAlignment="1">
      <alignment vertical="center"/>
    </xf>
    <xf numFmtId="0" fontId="5" fillId="3" borderId="5" xfId="0" applyFont="1" applyFill="1" applyBorder="1" applyAlignment="1">
      <alignment vertical="center" wrapText="1"/>
    </xf>
    <xf numFmtId="0" fontId="5" fillId="3" borderId="4" xfId="0" applyFont="1" applyFill="1" applyBorder="1" applyAlignment="1">
      <alignment vertical="center" wrapText="1"/>
    </xf>
    <xf numFmtId="0" fontId="5" fillId="3" borderId="32" xfId="0" applyFont="1" applyFill="1" applyBorder="1" applyAlignment="1">
      <alignment vertical="center"/>
    </xf>
    <xf numFmtId="0" fontId="5" fillId="3" borderId="11" xfId="0" applyFont="1" applyFill="1" applyBorder="1" applyAlignment="1">
      <alignment vertical="center"/>
    </xf>
    <xf numFmtId="0" fontId="5" fillId="3" borderId="16" xfId="0" applyFont="1" applyFill="1" applyBorder="1" applyAlignment="1">
      <alignment horizontal="left" vertical="center"/>
    </xf>
    <xf numFmtId="0" fontId="5" fillId="3" borderId="13" xfId="0" applyFont="1" applyFill="1" applyBorder="1" applyAlignment="1">
      <alignment horizontal="left" vertical="center"/>
    </xf>
    <xf numFmtId="0" fontId="5" fillId="0" borderId="51" xfId="0" applyFont="1" applyFill="1" applyBorder="1" applyAlignment="1">
      <alignment horizontal="left" vertical="center"/>
    </xf>
    <xf numFmtId="0" fontId="5" fillId="0" borderId="30" xfId="0" applyFont="1" applyFill="1" applyBorder="1" applyAlignment="1">
      <alignment horizontal="left" vertical="center"/>
    </xf>
    <xf numFmtId="0" fontId="5" fillId="3" borderId="27"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32" xfId="0" applyFont="1" applyFill="1" applyBorder="1" applyAlignment="1">
      <alignment horizontal="center" vertical="center"/>
    </xf>
    <xf numFmtId="0" fontId="6" fillId="0" borderId="14" xfId="3" applyFont="1" applyFill="1" applyBorder="1" applyAlignment="1">
      <alignment horizontal="left" vertical="center" wrapText="1"/>
    </xf>
    <xf numFmtId="0" fontId="6" fillId="0" borderId="4" xfId="3" applyFont="1" applyFill="1" applyBorder="1" applyAlignment="1">
      <alignment horizontal="left" vertical="center" wrapText="1"/>
    </xf>
    <xf numFmtId="0" fontId="6" fillId="3" borderId="48" xfId="3" applyFont="1" applyFill="1" applyBorder="1" applyAlignment="1">
      <alignment horizontal="left" vertical="center"/>
    </xf>
    <xf numFmtId="0" fontId="6" fillId="3" borderId="49" xfId="3" applyFont="1" applyFill="1" applyBorder="1" applyAlignment="1">
      <alignment horizontal="left" vertical="center"/>
    </xf>
    <xf numFmtId="0" fontId="6" fillId="3" borderId="27" xfId="3" applyFont="1" applyFill="1" applyBorder="1" applyAlignment="1">
      <alignment horizontal="left" vertical="center" wrapText="1"/>
    </xf>
    <xf numFmtId="0" fontId="6" fillId="3" borderId="13" xfId="3" applyFont="1" applyFill="1" applyBorder="1" applyAlignment="1">
      <alignment horizontal="left" vertical="center" wrapText="1"/>
    </xf>
    <xf numFmtId="0" fontId="6" fillId="0" borderId="11" xfId="3" applyFont="1" applyFill="1" applyBorder="1" applyAlignment="1">
      <alignment horizontal="left" vertical="center" wrapText="1"/>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5" borderId="8" xfId="0" applyFont="1" applyFill="1" applyBorder="1" applyAlignment="1">
      <alignment horizontal="left" vertical="center"/>
    </xf>
    <xf numFmtId="0" fontId="5" fillId="5" borderId="9" xfId="0" applyFont="1" applyFill="1" applyBorder="1" applyAlignment="1">
      <alignment horizontal="left" vertical="center"/>
    </xf>
    <xf numFmtId="0" fontId="5" fillId="5" borderId="22" xfId="0" applyFont="1" applyFill="1" applyBorder="1" applyAlignment="1">
      <alignment horizontal="left" vertical="center"/>
    </xf>
    <xf numFmtId="0" fontId="5" fillId="5" borderId="16" xfId="0" applyFont="1" applyFill="1" applyBorder="1" applyAlignment="1">
      <alignment horizontal="left" vertical="center"/>
    </xf>
    <xf numFmtId="0" fontId="5" fillId="5" borderId="17" xfId="0" applyFont="1" applyFill="1" applyBorder="1" applyAlignment="1">
      <alignment horizontal="left" vertical="center"/>
    </xf>
    <xf numFmtId="0" fontId="5" fillId="5" borderId="18" xfId="0" applyFont="1" applyFill="1" applyBorder="1" applyAlignment="1">
      <alignment horizontal="left" vertical="center"/>
    </xf>
    <xf numFmtId="0" fontId="6" fillId="3" borderId="27" xfId="3" applyFont="1" applyFill="1" applyBorder="1" applyAlignment="1">
      <alignment horizontal="left" vertical="center"/>
    </xf>
    <xf numFmtId="0" fontId="6" fillId="3" borderId="13" xfId="3" applyFont="1" applyFill="1" applyBorder="1" applyAlignment="1">
      <alignment horizontal="left" vertical="center"/>
    </xf>
    <xf numFmtId="0" fontId="6" fillId="3" borderId="27" xfId="3" applyFont="1" applyFill="1" applyBorder="1" applyAlignment="1">
      <alignment vertical="center"/>
    </xf>
    <xf numFmtId="0" fontId="6" fillId="3" borderId="13" xfId="3" applyFont="1" applyFill="1" applyBorder="1" applyAlignment="1">
      <alignment vertical="center"/>
    </xf>
    <xf numFmtId="0" fontId="6" fillId="3" borderId="23" xfId="3" applyFont="1" applyFill="1" applyBorder="1" applyAlignment="1">
      <alignment horizontal="left" vertical="top"/>
    </xf>
    <xf numFmtId="0" fontId="6" fillId="3" borderId="25" xfId="3" applyFont="1" applyFill="1" applyBorder="1" applyAlignment="1">
      <alignment horizontal="left" vertical="top"/>
    </xf>
    <xf numFmtId="0" fontId="6" fillId="0" borderId="0" xfId="3" applyFont="1" applyBorder="1" applyAlignment="1">
      <alignment horizontal="left" vertical="top" wrapText="1"/>
    </xf>
    <xf numFmtId="0" fontId="6" fillId="2" borderId="27" xfId="3" applyFont="1" applyFill="1" applyBorder="1" applyAlignment="1">
      <alignment horizontal="distributed" vertical="center" justifyLastLine="1"/>
    </xf>
    <xf numFmtId="0" fontId="6" fillId="2" borderId="32" xfId="3" applyFont="1" applyFill="1" applyBorder="1" applyAlignment="1">
      <alignment horizontal="distributed" vertical="center" justifyLastLine="1"/>
    </xf>
    <xf numFmtId="0" fontId="6" fillId="2" borderId="65" xfId="3" applyFont="1" applyFill="1" applyBorder="1" applyAlignment="1">
      <alignment horizontal="distributed" vertical="center" justifyLastLine="1"/>
    </xf>
    <xf numFmtId="0" fontId="6" fillId="2" borderId="57" xfId="3" applyFont="1" applyFill="1" applyBorder="1" applyAlignment="1">
      <alignment horizontal="distributed" vertical="center" justifyLastLine="1"/>
    </xf>
    <xf numFmtId="177" fontId="6" fillId="2" borderId="66" xfId="3" applyNumberFormat="1" applyFont="1" applyFill="1" applyBorder="1" applyAlignment="1">
      <alignment horizontal="distributed" vertical="center" justifyLastLine="1"/>
    </xf>
    <xf numFmtId="177" fontId="6" fillId="2" borderId="68" xfId="3" applyNumberFormat="1" applyFont="1" applyFill="1" applyBorder="1" applyAlignment="1">
      <alignment horizontal="distributed" vertical="center" justifyLastLine="1"/>
    </xf>
    <xf numFmtId="177" fontId="6" fillId="2" borderId="67" xfId="3" applyNumberFormat="1" applyFont="1" applyFill="1" applyBorder="1" applyAlignment="1">
      <alignment horizontal="center" vertical="center" wrapText="1"/>
    </xf>
    <xf numFmtId="177" fontId="6" fillId="2" borderId="64" xfId="3" applyNumberFormat="1" applyFont="1" applyFill="1" applyBorder="1" applyAlignment="1">
      <alignment horizontal="center" vertical="center" wrapText="1"/>
    </xf>
    <xf numFmtId="177" fontId="6" fillId="0" borderId="53" xfId="3" applyNumberFormat="1" applyFont="1" applyFill="1" applyBorder="1" applyAlignment="1">
      <alignment horizontal="left" vertical="top" wrapText="1"/>
    </xf>
    <xf numFmtId="177" fontId="6" fillId="0" borderId="8" xfId="3" applyNumberFormat="1" applyFont="1" applyFill="1" applyBorder="1" applyAlignment="1">
      <alignment horizontal="left" vertical="top" wrapText="1"/>
    </xf>
    <xf numFmtId="177" fontId="6" fillId="0" borderId="9" xfId="3" applyNumberFormat="1" applyFont="1" applyFill="1" applyBorder="1" applyAlignment="1">
      <alignment horizontal="left" vertical="top" wrapText="1"/>
    </xf>
    <xf numFmtId="0" fontId="6" fillId="3" borderId="23" xfId="3" applyFont="1" applyFill="1" applyBorder="1" applyAlignment="1">
      <alignment horizontal="left" vertical="top" wrapText="1" justifyLastLine="1"/>
    </xf>
    <xf numFmtId="0" fontId="6" fillId="3" borderId="25" xfId="3" applyFont="1" applyFill="1" applyBorder="1" applyAlignment="1">
      <alignment horizontal="left" vertical="top" wrapText="1" justifyLastLine="1"/>
    </xf>
    <xf numFmtId="0" fontId="6" fillId="3" borderId="24" xfId="3" applyFont="1" applyFill="1" applyBorder="1" applyAlignment="1">
      <alignment horizontal="left" vertical="top" wrapText="1" justifyLastLine="1"/>
    </xf>
    <xf numFmtId="0" fontId="6" fillId="3" borderId="53" xfId="3" applyFont="1" applyFill="1" applyBorder="1" applyAlignment="1">
      <alignment horizontal="center" vertical="top" wrapText="1" justifyLastLine="1"/>
    </xf>
    <xf numFmtId="0" fontId="6" fillId="0" borderId="53" xfId="3" applyFont="1" applyBorder="1" applyAlignment="1">
      <alignment horizontal="left" vertical="top" wrapText="1"/>
    </xf>
    <xf numFmtId="0" fontId="6" fillId="2" borderId="53" xfId="3" applyFont="1" applyFill="1" applyBorder="1" applyAlignment="1">
      <alignment horizontal="left" vertical="center" justifyLastLine="1"/>
    </xf>
    <xf numFmtId="177" fontId="6" fillId="2" borderId="16" xfId="3" applyNumberFormat="1" applyFont="1" applyFill="1" applyBorder="1" applyAlignment="1">
      <alignment horizontal="left" vertical="center" wrapText="1" justifyLastLine="1"/>
    </xf>
    <xf numFmtId="177" fontId="6" fillId="2" borderId="20" xfId="3" applyNumberFormat="1" applyFont="1" applyFill="1" applyBorder="1" applyAlignment="1">
      <alignment horizontal="left" vertical="center" wrapText="1" justifyLastLine="1"/>
    </xf>
    <xf numFmtId="177" fontId="6" fillId="2" borderId="53" xfId="3" applyNumberFormat="1" applyFont="1" applyFill="1" applyBorder="1" applyAlignment="1">
      <alignment horizontal="left" vertical="top" justifyLastLine="1"/>
    </xf>
    <xf numFmtId="177" fontId="6" fillId="2" borderId="53" xfId="3" applyNumberFormat="1" applyFont="1" applyFill="1" applyBorder="1" applyAlignment="1">
      <alignment horizontal="left" vertical="center" wrapText="1" justifyLastLine="1"/>
    </xf>
    <xf numFmtId="177" fontId="6" fillId="2" borderId="8" xfId="3" applyNumberFormat="1" applyFont="1" applyFill="1" applyBorder="1" applyAlignment="1">
      <alignment horizontal="left" vertical="center" wrapText="1" justifyLastLine="1"/>
    </xf>
    <xf numFmtId="0" fontId="6" fillId="0" borderId="23" xfId="3" applyFont="1" applyBorder="1" applyAlignment="1">
      <alignment horizontal="left" vertical="top" wrapText="1"/>
    </xf>
    <xf numFmtId="0" fontId="6" fillId="0" borderId="25" xfId="3" applyFont="1" applyBorder="1" applyAlignment="1">
      <alignment horizontal="left" vertical="top" wrapText="1"/>
    </xf>
    <xf numFmtId="0" fontId="6" fillId="0" borderId="24" xfId="3" applyFont="1" applyBorder="1" applyAlignment="1">
      <alignment horizontal="left" vertical="top" wrapText="1"/>
    </xf>
    <xf numFmtId="0" fontId="6" fillId="3" borderId="23" xfId="3" applyFont="1" applyFill="1" applyBorder="1" applyAlignment="1">
      <alignment horizontal="center" vertical="top"/>
    </xf>
    <xf numFmtId="0" fontId="6" fillId="3" borderId="25" xfId="3" applyFont="1" applyFill="1" applyBorder="1" applyAlignment="1">
      <alignment horizontal="center" vertical="top"/>
    </xf>
    <xf numFmtId="0" fontId="6" fillId="0" borderId="0" xfId="3" applyFont="1" applyBorder="1" applyAlignment="1">
      <alignment horizontal="left" vertical="center" wrapText="1"/>
    </xf>
    <xf numFmtId="176" fontId="4" fillId="0" borderId="12" xfId="0" applyNumberFormat="1" applyFont="1" applyFill="1" applyBorder="1" applyAlignment="1">
      <alignment vertical="center"/>
    </xf>
    <xf numFmtId="176" fontId="4" fillId="0" borderId="24" xfId="0" applyNumberFormat="1" applyFont="1" applyFill="1" applyBorder="1" applyAlignment="1">
      <alignment vertical="center"/>
    </xf>
    <xf numFmtId="176" fontId="4" fillId="0" borderId="0" xfId="0" applyNumberFormat="1" applyFont="1" applyFill="1" applyBorder="1" applyAlignment="1">
      <alignment horizontal="right" vertical="center"/>
    </xf>
    <xf numFmtId="38" fontId="4" fillId="0" borderId="5" xfId="1" applyNumberFormat="1" applyFont="1" applyFill="1" applyBorder="1" applyAlignment="1">
      <alignment horizontal="right" vertical="center"/>
    </xf>
    <xf numFmtId="38" fontId="4" fillId="0" borderId="0" xfId="1" applyNumberFormat="1" applyFont="1" applyFill="1" applyBorder="1" applyAlignment="1">
      <alignment horizontal="right" vertical="center"/>
    </xf>
    <xf numFmtId="38" fontId="4" fillId="0" borderId="23" xfId="1" applyFont="1" applyFill="1" applyBorder="1" applyAlignment="1">
      <alignment horizontal="right" vertical="center"/>
    </xf>
    <xf numFmtId="38" fontId="4" fillId="0" borderId="23" xfId="1" applyFont="1" applyFill="1" applyBorder="1" applyAlignment="1">
      <alignment vertical="center"/>
    </xf>
    <xf numFmtId="38" fontId="4" fillId="0" borderId="36" xfId="1" applyFont="1" applyFill="1" applyBorder="1" applyAlignment="1">
      <alignment vertical="center"/>
    </xf>
    <xf numFmtId="38" fontId="4" fillId="0" borderId="16" xfId="1" applyFont="1" applyFill="1" applyBorder="1" applyAlignment="1">
      <alignment horizontal="right" vertical="center"/>
    </xf>
    <xf numFmtId="38" fontId="4" fillId="0" borderId="18" xfId="1" applyFont="1" applyFill="1" applyBorder="1" applyAlignment="1">
      <alignment horizontal="right" vertical="center"/>
    </xf>
  </cellXfs>
  <cellStyles count="5">
    <cellStyle name="ハイパーリンク" xfId="4" builtinId="8"/>
    <cellStyle name="桁区切り" xfId="1" builtinId="6"/>
    <cellStyle name="標準" xfId="0" builtinId="0"/>
    <cellStyle name="標準_H13経常（諸税）" xfId="2"/>
    <cellStyle name="標準_P62～65 131" xfId="3"/>
  </cellStyles>
  <dxfs count="4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ECFF"/>
      <color rgb="FFCCFFCC"/>
      <color rgb="FFFFCCFF"/>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131379</xdr:colOff>
      <xdr:row>9</xdr:row>
      <xdr:rowOff>416035</xdr:rowOff>
    </xdr:from>
    <xdr:to>
      <xdr:col>0</xdr:col>
      <xdr:colOff>2131264</xdr:colOff>
      <xdr:row>9</xdr:row>
      <xdr:rowOff>1036437</xdr:rowOff>
    </xdr:to>
    <xdr:sp macro="" textlink="">
      <xdr:nvSpPr>
        <xdr:cNvPr id="2" name="AutoShape 1"/>
        <xdr:cNvSpPr>
          <a:spLocks noChangeArrowheads="1"/>
        </xdr:cNvSpPr>
      </xdr:nvSpPr>
      <xdr:spPr bwMode="auto">
        <a:xfrm>
          <a:off x="131379" y="3284483"/>
          <a:ext cx="1999885" cy="620402"/>
        </a:xfrm>
        <a:prstGeom prst="bracketPair">
          <a:avLst>
            <a:gd name="adj" fmla="val 107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172690</xdr:colOff>
      <xdr:row>11</xdr:row>
      <xdr:rowOff>432675</xdr:rowOff>
    </xdr:from>
    <xdr:to>
      <xdr:col>0</xdr:col>
      <xdr:colOff>2109367</xdr:colOff>
      <xdr:row>11</xdr:row>
      <xdr:rowOff>1051034</xdr:rowOff>
    </xdr:to>
    <xdr:sp macro="" textlink="">
      <xdr:nvSpPr>
        <xdr:cNvPr id="3" name="AutoShape 2"/>
        <xdr:cNvSpPr>
          <a:spLocks noChangeArrowheads="1"/>
        </xdr:cNvSpPr>
      </xdr:nvSpPr>
      <xdr:spPr bwMode="auto">
        <a:xfrm>
          <a:off x="172690" y="6242560"/>
          <a:ext cx="1936677" cy="618359"/>
        </a:xfrm>
        <a:prstGeom prst="bracketPair">
          <a:avLst>
            <a:gd name="adj" fmla="val 107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93644</xdr:colOff>
      <xdr:row>11</xdr:row>
      <xdr:rowOff>941551</xdr:rowOff>
    </xdr:from>
    <xdr:to>
      <xdr:col>1</xdr:col>
      <xdr:colOff>3861091</xdr:colOff>
      <xdr:row>11</xdr:row>
      <xdr:rowOff>1262701</xdr:rowOff>
    </xdr:to>
    <xdr:sp macro="" textlink="">
      <xdr:nvSpPr>
        <xdr:cNvPr id="4" name="AutoShape 3"/>
        <xdr:cNvSpPr>
          <a:spLocks noChangeArrowheads="1"/>
        </xdr:cNvSpPr>
      </xdr:nvSpPr>
      <xdr:spPr bwMode="auto">
        <a:xfrm>
          <a:off x="2421977" y="6386494"/>
          <a:ext cx="3767447" cy="321150"/>
        </a:xfrm>
        <a:prstGeom prst="bracketPair">
          <a:avLst>
            <a:gd name="adj" fmla="val 107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21896</xdr:colOff>
      <xdr:row>13</xdr:row>
      <xdr:rowOff>737184</xdr:rowOff>
    </xdr:from>
    <xdr:to>
      <xdr:col>2</xdr:col>
      <xdr:colOff>2284539</xdr:colOff>
      <xdr:row>13</xdr:row>
      <xdr:rowOff>1087529</xdr:rowOff>
    </xdr:to>
    <xdr:sp macro="" textlink="">
      <xdr:nvSpPr>
        <xdr:cNvPr id="5" name="AutoShape 4"/>
        <xdr:cNvSpPr>
          <a:spLocks noChangeArrowheads="1"/>
        </xdr:cNvSpPr>
      </xdr:nvSpPr>
      <xdr:spPr bwMode="auto">
        <a:xfrm>
          <a:off x="6583563" y="8758621"/>
          <a:ext cx="2262643" cy="350345"/>
        </a:xfrm>
        <a:prstGeom prst="bracketPair">
          <a:avLst>
            <a:gd name="adj" fmla="val 107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_&#22266;&#23450;&#36039;&#29987;&#31246;&#35506;&#65288;&#25351;&#23566;&#65289;/01_&#35506;&#31246;&#35519;&#25972;&#65288;&#24246;&#21209;&#65289;/47%20&#21508;&#31278;&#38598;&#35336;&#20107;&#21209;&#65288;&#31246;&#21209;&#32113;&#35336;&#12289;&#31070;&#25144;&#24066;&#32113;&#35336;&#26360;&#65289;/&#31246;&#21209;&#32113;&#35336;/R5/01_&#21508;&#12521;&#12452;&#12531;&#22238;&#31572;/&#22303;&#22320;&#22238;&#31572;/&#22303;&#22320;_R5&#31246;&#21209;&#32113;&#35336;&#26360;&#65288;&#25244;&#31883;&#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固定資産税（納税義務者の推移）"/>
      <sheetName val="3(2)固定資産税（地目別地積の推移（土地））"/>
      <sheetName val="3(3)固定資産税（地目別筆数の推移（土地））"/>
      <sheetName val="3(4)固定資産税（地目別決定価格の推移（土地））"/>
      <sheetName val="3(5)固定資産税（地目別課税標準額の推移（土地））"/>
      <sheetName val="5(4)都市計画税に関する調"/>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固定資産税（納税義務者の推移）"/>
      <sheetName val="3(2)固定資産税（地目別地積の推移（土地））"/>
      <sheetName val="3(3)固定資産税（地目別筆数の推移（土地））"/>
      <sheetName val="3(4)固定資産税（地目別決定価格の推移（土地））"/>
      <sheetName val="3(5)固定資産税（地目別課税標準額の推移（土地））"/>
      <sheetName val="5(4)都市計画税に関する調"/>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abSelected="1" zoomScaleNormal="100" workbookViewId="0">
      <pane ySplit="3" topLeftCell="A4" activePane="bottomLeft" state="frozen"/>
      <selection pane="bottomLeft"/>
    </sheetView>
  </sheetViews>
  <sheetFormatPr defaultColWidth="8.58203125" defaultRowHeight="14.5" x14ac:dyDescent="0.55000000000000004"/>
  <cols>
    <col min="1" max="1" width="2.58203125" style="21" customWidth="1"/>
    <col min="2" max="2" width="71.33203125" style="21" bestFit="1" customWidth="1"/>
    <col min="3" max="5" width="10.33203125" style="22" customWidth="1"/>
    <col min="6" max="8" width="10.33203125" style="22" bestFit="1" customWidth="1"/>
    <col min="9" max="22" width="10.33203125" style="22" customWidth="1"/>
    <col min="23" max="16384" width="8.58203125" style="22"/>
  </cols>
  <sheetData>
    <row r="1" spans="1:2" x14ac:dyDescent="0.55000000000000004">
      <c r="A1" s="30" t="s">
        <v>437</v>
      </c>
    </row>
    <row r="2" spans="1:2" x14ac:dyDescent="0.55000000000000004">
      <c r="A2" s="30"/>
    </row>
    <row r="3" spans="1:2" x14ac:dyDescent="0.55000000000000004">
      <c r="A3" s="30" t="s">
        <v>429</v>
      </c>
      <c r="B3" s="22"/>
    </row>
    <row r="4" spans="1:2" x14ac:dyDescent="0.55000000000000004">
      <c r="A4" s="30"/>
      <c r="B4" s="22"/>
    </row>
    <row r="5" spans="1:2" x14ac:dyDescent="0.55000000000000004">
      <c r="A5" s="22"/>
      <c r="B5" s="22" t="s">
        <v>114</v>
      </c>
    </row>
    <row r="6" spans="1:2" x14ac:dyDescent="0.55000000000000004">
      <c r="A6" s="22"/>
      <c r="B6" s="433" t="s">
        <v>115</v>
      </c>
    </row>
    <row r="7" spans="1:2" x14ac:dyDescent="0.55000000000000004">
      <c r="A7" s="22"/>
      <c r="B7" s="433" t="s">
        <v>430</v>
      </c>
    </row>
    <row r="8" spans="1:2" x14ac:dyDescent="0.55000000000000004">
      <c r="A8" s="22"/>
      <c r="B8" s="433" t="s">
        <v>1076</v>
      </c>
    </row>
    <row r="9" spans="1:2" x14ac:dyDescent="0.55000000000000004">
      <c r="A9" s="22"/>
      <c r="B9" s="433" t="s">
        <v>1073</v>
      </c>
    </row>
    <row r="10" spans="1:2" x14ac:dyDescent="0.55000000000000004">
      <c r="A10" s="22"/>
      <c r="B10" s="433" t="s">
        <v>1074</v>
      </c>
    </row>
    <row r="11" spans="1:2" x14ac:dyDescent="0.55000000000000004">
      <c r="A11" s="22"/>
      <c r="B11" s="22"/>
    </row>
    <row r="12" spans="1:2" x14ac:dyDescent="0.55000000000000004">
      <c r="A12" s="22"/>
      <c r="B12" s="22" t="s">
        <v>117</v>
      </c>
    </row>
    <row r="13" spans="1:2" x14ac:dyDescent="0.55000000000000004">
      <c r="A13" s="22"/>
      <c r="B13" s="433" t="s">
        <v>118</v>
      </c>
    </row>
    <row r="14" spans="1:2" x14ac:dyDescent="0.55000000000000004">
      <c r="A14" s="22"/>
      <c r="B14" s="433" t="s">
        <v>119</v>
      </c>
    </row>
    <row r="15" spans="1:2" x14ac:dyDescent="0.55000000000000004">
      <c r="A15" s="22"/>
      <c r="B15" s="22"/>
    </row>
    <row r="16" spans="1:2" x14ac:dyDescent="0.55000000000000004">
      <c r="A16" s="22"/>
      <c r="B16" s="22" t="s">
        <v>120</v>
      </c>
    </row>
    <row r="17" spans="1:2" x14ac:dyDescent="0.55000000000000004">
      <c r="A17" s="22"/>
      <c r="B17" s="433" t="s">
        <v>121</v>
      </c>
    </row>
    <row r="18" spans="1:2" x14ac:dyDescent="0.55000000000000004">
      <c r="A18" s="22"/>
      <c r="B18" s="433" t="s">
        <v>136</v>
      </c>
    </row>
    <row r="19" spans="1:2" x14ac:dyDescent="0.55000000000000004">
      <c r="A19" s="22"/>
      <c r="B19" s="433" t="s">
        <v>432</v>
      </c>
    </row>
    <row r="20" spans="1:2" x14ac:dyDescent="0.55000000000000004">
      <c r="A20" s="22"/>
      <c r="B20" s="433" t="s">
        <v>152</v>
      </c>
    </row>
    <row r="21" spans="1:2" x14ac:dyDescent="0.55000000000000004">
      <c r="A21" s="22"/>
      <c r="B21" s="433" t="s">
        <v>154</v>
      </c>
    </row>
    <row r="22" spans="1:2" x14ac:dyDescent="0.55000000000000004">
      <c r="A22" s="22"/>
      <c r="B22" s="433" t="s">
        <v>155</v>
      </c>
    </row>
    <row r="23" spans="1:2" x14ac:dyDescent="0.55000000000000004">
      <c r="A23" s="22"/>
      <c r="B23" s="433" t="s">
        <v>164</v>
      </c>
    </row>
    <row r="24" spans="1:2" x14ac:dyDescent="0.55000000000000004">
      <c r="A24" s="22"/>
      <c r="B24" s="433" t="s">
        <v>176</v>
      </c>
    </row>
    <row r="25" spans="1:2" x14ac:dyDescent="0.55000000000000004">
      <c r="A25" s="22"/>
      <c r="B25" s="433" t="s">
        <v>177</v>
      </c>
    </row>
    <row r="26" spans="1:2" x14ac:dyDescent="0.55000000000000004">
      <c r="A26" s="22"/>
      <c r="B26" s="22"/>
    </row>
    <row r="27" spans="1:2" x14ac:dyDescent="0.55000000000000004">
      <c r="A27" s="22"/>
      <c r="B27" s="22" t="s">
        <v>181</v>
      </c>
    </row>
    <row r="28" spans="1:2" x14ac:dyDescent="0.55000000000000004">
      <c r="A28" s="22"/>
      <c r="B28" s="433" t="s">
        <v>182</v>
      </c>
    </row>
    <row r="29" spans="1:2" x14ac:dyDescent="0.55000000000000004">
      <c r="A29" s="22"/>
      <c r="B29" s="433" t="s">
        <v>224</v>
      </c>
    </row>
    <row r="30" spans="1:2" x14ac:dyDescent="0.55000000000000004">
      <c r="A30" s="22"/>
      <c r="B30" s="433" t="s">
        <v>226</v>
      </c>
    </row>
    <row r="31" spans="1:2" x14ac:dyDescent="0.55000000000000004">
      <c r="A31" s="22"/>
      <c r="B31" s="433" t="s">
        <v>229</v>
      </c>
    </row>
    <row r="32" spans="1:2" x14ac:dyDescent="0.55000000000000004">
      <c r="A32" s="22"/>
      <c r="B32" s="22"/>
    </row>
    <row r="33" spans="1:2" x14ac:dyDescent="0.55000000000000004">
      <c r="A33" s="22"/>
      <c r="B33" s="22" t="s">
        <v>230</v>
      </c>
    </row>
    <row r="34" spans="1:2" x14ac:dyDescent="0.55000000000000004">
      <c r="A34" s="22"/>
      <c r="B34" s="433" t="s">
        <v>231</v>
      </c>
    </row>
    <row r="35" spans="1:2" x14ac:dyDescent="0.55000000000000004">
      <c r="A35" s="22"/>
      <c r="B35" s="433" t="s">
        <v>273</v>
      </c>
    </row>
    <row r="36" spans="1:2" x14ac:dyDescent="0.55000000000000004">
      <c r="A36" s="22"/>
      <c r="B36" s="433" t="s">
        <v>431</v>
      </c>
    </row>
    <row r="37" spans="1:2" x14ac:dyDescent="0.55000000000000004">
      <c r="A37" s="22"/>
      <c r="B37" s="433" t="s">
        <v>311</v>
      </c>
    </row>
    <row r="38" spans="1:2" x14ac:dyDescent="0.55000000000000004">
      <c r="A38" s="22"/>
      <c r="B38" s="22"/>
    </row>
    <row r="39" spans="1:2" x14ac:dyDescent="0.55000000000000004">
      <c r="A39" s="22"/>
      <c r="B39" s="22" t="s">
        <v>321</v>
      </c>
    </row>
    <row r="40" spans="1:2" x14ac:dyDescent="0.55000000000000004">
      <c r="A40" s="22"/>
      <c r="B40" s="433" t="s">
        <v>322</v>
      </c>
    </row>
    <row r="41" spans="1:2" x14ac:dyDescent="0.55000000000000004">
      <c r="A41" s="22"/>
      <c r="B41" s="433" t="s">
        <v>331</v>
      </c>
    </row>
    <row r="42" spans="1:2" x14ac:dyDescent="0.55000000000000004">
      <c r="A42" s="22"/>
      <c r="B42" s="433" t="s">
        <v>348</v>
      </c>
    </row>
    <row r="43" spans="1:2" x14ac:dyDescent="0.55000000000000004">
      <c r="A43" s="22"/>
      <c r="B43" s="22" t="s">
        <v>439</v>
      </c>
    </row>
    <row r="44" spans="1:2" x14ac:dyDescent="0.55000000000000004">
      <c r="A44" s="22"/>
      <c r="B44" s="433" t="s">
        <v>1007</v>
      </c>
    </row>
    <row r="45" spans="1:2" x14ac:dyDescent="0.55000000000000004">
      <c r="A45" s="22"/>
      <c r="B45" s="433" t="s">
        <v>1008</v>
      </c>
    </row>
    <row r="46" spans="1:2" x14ac:dyDescent="0.55000000000000004">
      <c r="A46" s="22"/>
      <c r="B46" s="433" t="s">
        <v>1009</v>
      </c>
    </row>
    <row r="47" spans="1:2" x14ac:dyDescent="0.55000000000000004">
      <c r="A47" s="22"/>
      <c r="B47" s="433" t="s">
        <v>1010</v>
      </c>
    </row>
  </sheetData>
  <customSheetViews>
    <customSheetView guid="{501209ED-4B79-4E52-B95E-748E5E77E24F}">
      <pane ySplit="3" topLeftCell="A4" activePane="bottomLeft" state="frozen"/>
      <selection pane="bottomLeft" activeCell="B8" sqref="B8"/>
      <pageMargins left="0.59055118110236227" right="0.59055118110236227" top="0.59055118110236227" bottom="0.59055118110236227" header="0.31496062992125984" footer="0.31496062992125984"/>
      <printOptions horizontalCentered="1"/>
      <pageSetup paperSize="9" scale="56" orientation="portrait" r:id="rId1"/>
    </customSheetView>
  </customSheetViews>
  <phoneticPr fontId="1"/>
  <hyperlinks>
    <hyperlink ref="B6" location="'1(1)個人市民税（納税義務者の推移）'!A1" display="（１）納税義務者の推移"/>
    <hyperlink ref="B7" location="'1(2)個人市民税（調定額の推移）'!A1" display="（２）調定額の推移"/>
    <hyperlink ref="B8" location="'1(3)個人市民税（課税標準額段階別納税義務者数の推移）'!A1" display="（３）課税標準額段階別　納税義務者数の推移"/>
    <hyperlink ref="B9" location="'1(4)個人市民税（課税標準額段階別総所得金額・所得控除額）'!A1" display="（４）課税標準額段階別　総所得金額・所得控除額の推移"/>
    <hyperlink ref="B10" location="'1(5)個人市民税（課税標準額段階別課税標準額・算出税額等）'!A1" display="（５）課税標準額段階別　課税標準額・算出税額・所得割額等の推移"/>
    <hyperlink ref="B13" location="'2(1)法人市民税（均等割納税義務者の推移）'!A1" display="（１）均等割納税義務者数の推移"/>
    <hyperlink ref="B14" location="'2(2)法人市民税（法人税割業種別決算調定額の推移）'!A1" display="（２）法人税割業種別決算調定額（当年度）の推移"/>
    <hyperlink ref="B17" location="'3(1)固定資産税（納税義務者の推移）'!A1" display="（１）納税義務者の推移"/>
    <hyperlink ref="B18" location="'3(2)固定資産税（地目別地積の推移（土地））'!A1" display="（２）地目別地積の推移（土地）"/>
    <hyperlink ref="B19" location="'3(3)固定資産税（地目別筆数の推移（土地））'!A1" display="（３）地目別筆数の推移（土地）"/>
    <hyperlink ref="B20" location="'3(4)固定資産税（地目別決定価格の推移（土地））'!A1" display="（４）地目別決定価格の推移（土地）"/>
    <hyperlink ref="B21" location="'3(5)固定資産税（地目別課税標準額の推移（土地））'!A1" display="（５）地目別課税標準額の推移（土地）"/>
    <hyperlink ref="B22" location="'3(6)固定資産税（棟数・床面積・決定価格・課税標準額の推移）'!A1" display="（６）棟数・床面積・決定価格・課税標準額の推移（家屋）"/>
    <hyperlink ref="B23" location="'3(7)固定資産税（決定価格の推移（償却資産））'!A1" display="（７）決定価格の推移（償却資産）"/>
    <hyperlink ref="B24" location="'3(8)固定資産税（課税標準額の推移（償却資産））'!A1" display="（８）課税標準額の推移（償却資産）"/>
    <hyperlink ref="B25" location="'3(9)固定資産税（国有資産等所在市町村交付金の推移）'!A1" display="（９）国有資産等所在市町村交付金の推移"/>
    <hyperlink ref="B28" location="'4(1)軽自動車税（登録台数の推移（賦課期日現在））'!A1" display="（１）登録台数の推移（賦課期日現在）"/>
    <hyperlink ref="B29" location="'4(2)軽自動車税（課税台数の推移（賦課期日現在））'!A1" display="（２）課税台数の推移（賦課期日現在）"/>
    <hyperlink ref="B30" location="'4(3)軽自動車税（免除・非課税台数の推移（賦課期日現在））'!A1" display="（３）免除・非課税台数の推移（賦課期日現在）"/>
    <hyperlink ref="B31" location="'4(4)軽自動車税（車種別調定額の推移（賦課期日現在））'!A1" display="（４）車種別調定額の推移（賦課期日現在）"/>
    <hyperlink ref="B34" location="'5(1)市たばこ税調定額等の推移'!A1" display="（１）市たばこ税調定額等の推移"/>
    <hyperlink ref="B35" location="'5(2)入湯税に関する調'!A1" display="（２）入湯税に関する調"/>
    <hyperlink ref="B36" location="'5(3)事業所税に関する調'!A1" display="（３）事業所税に関する調"/>
    <hyperlink ref="B37" location="'5(4)都市計画税に関する調'!A1" display="（４）都市計画税に関する調"/>
    <hyperlink ref="B40" location="'6(1)個人市民税減免額の推移'!A1" display="（１）個人市民税減免額の推移"/>
    <hyperlink ref="B41" location="'6(2)固定資産税・都市計画税減免額の推移'!A1" display="（２）固定資産税・都市計画税減免額の推移"/>
    <hyperlink ref="B42" location="'6(3)震災に伴う市税軽減額の推移'!A1" display="（３）震災に伴う市税軽減額の推移（平成６～28年度）"/>
    <hyperlink ref="B44" location="'6(4)阪神・淡路大震災に関する税制措置大要（ア）'!A1" display="　　　ア　災害に対する一般的な税制上の取扱いの概要"/>
    <hyperlink ref="B45" location="'6(4)阪神・淡路大震災に関する税制措置大要（イ）'!A1" display="　　　イ　阪神・淡路大震災に係る税制特例措置等の措置経過"/>
    <hyperlink ref="B46" location="'6(4)阪神・淡路大震災に関する税制措置大要（ウ）'!A1" display="　　　ウ　阪神・淡路大震災に係る税制特例措置一覧"/>
    <hyperlink ref="B47" location="'(付表)阪神・淡路大震災に係る税制措置に関する主な地域指定等'!A1" display="　　　（付表）阪神・淡路大震災に係る税制措置に関する主な地域指定等の比較"/>
  </hyperlinks>
  <printOptions horizontalCentered="1"/>
  <pageMargins left="0.59055118110236227" right="0.59055118110236227" top="0.59055118110236227" bottom="0.59055118110236227" header="0.31496062992125984" footer="0.31496062992125984"/>
  <pageSetup paperSize="9" scale="56"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zoomScale="85" zoomScaleNormal="85" workbookViewId="0">
      <pane xSplit="2" ySplit="10" topLeftCell="C11" activePane="bottomRight" state="frozen"/>
      <selection pane="topRight" activeCell="C1" sqref="C1"/>
      <selection pane="bottomLeft" activeCell="A11" sqref="A11"/>
      <selection pane="bottomRight" activeCell="B1" sqref="B1"/>
    </sheetView>
  </sheetViews>
  <sheetFormatPr defaultColWidth="8.58203125" defaultRowHeight="14.5" outlineLevelRow="1" x14ac:dyDescent="0.35"/>
  <cols>
    <col min="1" max="1" width="6.58203125" style="4" bestFit="1" customWidth="1"/>
    <col min="2" max="2" width="10.33203125" style="1" bestFit="1" customWidth="1"/>
    <col min="3" max="3" width="11.33203125" style="1" customWidth="1"/>
    <col min="4" max="5" width="11.33203125" style="2" customWidth="1"/>
    <col min="6" max="6" width="11.33203125" style="4" customWidth="1"/>
    <col min="7" max="13" width="11.33203125" style="1" customWidth="1"/>
    <col min="14" max="14" width="12.08203125" style="1" customWidth="1"/>
    <col min="15" max="15" width="12.58203125" style="1" customWidth="1"/>
    <col min="16" max="24" width="10.83203125" style="1" bestFit="1" customWidth="1"/>
    <col min="25" max="26" width="10.33203125" style="1" bestFit="1" customWidth="1"/>
    <col min="27" max="16384" width="8.58203125" style="1"/>
  </cols>
  <sheetData>
    <row r="1" spans="1:26" x14ac:dyDescent="0.35">
      <c r="A1" s="433" t="s">
        <v>438</v>
      </c>
      <c r="B1" s="433"/>
    </row>
    <row r="3" spans="1:26" s="253" customFormat="1" ht="20.149999999999999" customHeight="1" x14ac:dyDescent="0.55000000000000004">
      <c r="A3" s="252" t="s">
        <v>120</v>
      </c>
    </row>
    <row r="4" spans="1:26" s="253" customFormat="1" ht="20.149999999999999" customHeight="1" x14ac:dyDescent="0.55000000000000004">
      <c r="A4" s="252" t="s">
        <v>136</v>
      </c>
    </row>
    <row r="5" spans="1:26" s="253" customFormat="1" ht="14.5" customHeight="1" x14ac:dyDescent="0.55000000000000004">
      <c r="A5" s="46"/>
    </row>
    <row r="6" spans="1:26" s="253" customFormat="1" ht="14.5" customHeight="1" x14ac:dyDescent="0.55000000000000004">
      <c r="A6" s="17" t="s">
        <v>28</v>
      </c>
      <c r="B6" s="30" t="s">
        <v>1114</v>
      </c>
    </row>
    <row r="7" spans="1:26" s="253" customFormat="1" ht="14.5" customHeight="1" x14ac:dyDescent="0.55000000000000004">
      <c r="B7" s="30" t="s">
        <v>1115</v>
      </c>
    </row>
    <row r="8" spans="1:26" s="253" customFormat="1" ht="14.5" customHeight="1" x14ac:dyDescent="0.55000000000000004">
      <c r="B8" s="30" t="s">
        <v>1116</v>
      </c>
    </row>
    <row r="9" spans="1:26" s="253" customFormat="1" ht="14.5" customHeight="1" x14ac:dyDescent="0.55000000000000004">
      <c r="B9" s="30"/>
    </row>
    <row r="10" spans="1:26" s="255" customFormat="1" x14ac:dyDescent="0.55000000000000004">
      <c r="A10" s="21"/>
      <c r="B10" s="327"/>
      <c r="C10" s="243"/>
      <c r="D10" s="40"/>
      <c r="E10" s="40"/>
      <c r="F10" s="40"/>
      <c r="G10" s="40"/>
      <c r="H10" s="40"/>
      <c r="I10" s="40"/>
      <c r="J10" s="677" t="s">
        <v>144</v>
      </c>
      <c r="K10" s="678"/>
      <c r="L10" s="678"/>
      <c r="M10" s="679"/>
      <c r="N10" s="40"/>
      <c r="O10" s="40"/>
      <c r="P10" s="40"/>
      <c r="Q10" s="40"/>
      <c r="R10" s="40"/>
      <c r="S10" s="40"/>
      <c r="T10" s="40"/>
      <c r="U10" s="40"/>
      <c r="V10" s="40"/>
      <c r="W10" s="40"/>
      <c r="X10" s="40"/>
      <c r="Y10" s="40"/>
      <c r="Z10" s="40"/>
    </row>
    <row r="11" spans="1:26" s="21" customFormat="1" ht="29" x14ac:dyDescent="0.55000000000000004">
      <c r="B11" s="327"/>
      <c r="C11" s="325" t="s">
        <v>139</v>
      </c>
      <c r="D11" s="325" t="s">
        <v>137</v>
      </c>
      <c r="E11" s="325" t="s">
        <v>138</v>
      </c>
      <c r="F11" s="325" t="s">
        <v>140</v>
      </c>
      <c r="G11" s="325" t="s">
        <v>141</v>
      </c>
      <c r="H11" s="325" t="s">
        <v>142</v>
      </c>
      <c r="I11" s="325" t="s">
        <v>143</v>
      </c>
      <c r="J11" s="376" t="s">
        <v>145</v>
      </c>
      <c r="K11" s="376" t="s">
        <v>146</v>
      </c>
      <c r="L11" s="376" t="s">
        <v>147</v>
      </c>
      <c r="M11" s="47" t="s">
        <v>148</v>
      </c>
      <c r="N11" s="383" t="s">
        <v>149</v>
      </c>
      <c r="O11" s="377" t="s">
        <v>113</v>
      </c>
      <c r="P11" s="45"/>
      <c r="Q11" s="45"/>
      <c r="R11" s="45"/>
      <c r="S11" s="45"/>
      <c r="T11" s="45"/>
      <c r="U11" s="45"/>
      <c r="V11" s="45"/>
      <c r="W11" s="45"/>
      <c r="X11" s="45"/>
      <c r="Y11" s="45"/>
      <c r="Z11" s="45"/>
    </row>
    <row r="12" spans="1:26" s="255" customFormat="1" ht="20.149999999999999" customHeight="1" x14ac:dyDescent="0.55000000000000004">
      <c r="A12" s="21"/>
      <c r="B12" s="353" t="s">
        <v>1127</v>
      </c>
      <c r="C12" s="374">
        <f>SUM(C14:C22)</f>
        <v>100801164.41</v>
      </c>
      <c r="D12" s="374">
        <f t="shared" ref="D12:M12" si="0">SUM(D14:D22)</f>
        <v>42612186.810000002</v>
      </c>
      <c r="E12" s="374">
        <f t="shared" si="0"/>
        <v>4929470.87</v>
      </c>
      <c r="F12" s="374">
        <f t="shared" si="0"/>
        <v>265.32</v>
      </c>
      <c r="G12" s="374">
        <f t="shared" si="0"/>
        <v>95276.51999999999</v>
      </c>
      <c r="H12" s="374">
        <f t="shared" si="0"/>
        <v>76961169.100000009</v>
      </c>
      <c r="I12" s="374">
        <f t="shared" si="0"/>
        <v>2940552.67</v>
      </c>
      <c r="J12" s="374">
        <f t="shared" si="0"/>
        <v>12069765.150000002</v>
      </c>
      <c r="K12" s="374">
        <f t="shared" si="0"/>
        <v>234536.45</v>
      </c>
      <c r="L12" s="374">
        <f t="shared" si="0"/>
        <v>2201066.4899999998</v>
      </c>
      <c r="M12" s="374">
        <f t="shared" si="0"/>
        <v>14467767.1</v>
      </c>
      <c r="N12" s="384">
        <f>SUM(D12:M12)</f>
        <v>156512056.47999999</v>
      </c>
      <c r="O12" s="378">
        <f t="shared" ref="O12" si="1">N12+C12</f>
        <v>257313220.88999999</v>
      </c>
      <c r="P12" s="40"/>
      <c r="Q12" s="40"/>
      <c r="R12" s="40"/>
      <c r="S12" s="40"/>
      <c r="T12" s="40"/>
      <c r="U12" s="40"/>
      <c r="V12" s="40"/>
      <c r="W12" s="40"/>
      <c r="X12" s="40"/>
      <c r="Y12" s="40"/>
      <c r="Z12" s="40"/>
    </row>
    <row r="13" spans="1:26" ht="20.149999999999999" customHeight="1" x14ac:dyDescent="0.3">
      <c r="A13" s="2"/>
      <c r="B13" s="548" t="s">
        <v>1101</v>
      </c>
      <c r="C13" s="543"/>
      <c r="D13" s="543"/>
      <c r="E13" s="543"/>
      <c r="F13" s="543"/>
      <c r="G13" s="543"/>
      <c r="H13" s="543"/>
      <c r="I13" s="543"/>
      <c r="J13" s="543"/>
      <c r="K13" s="543"/>
      <c r="L13" s="543"/>
      <c r="M13" s="543"/>
      <c r="N13" s="543"/>
      <c r="O13" s="543"/>
    </row>
    <row r="14" spans="1:26" s="255" customFormat="1" ht="20.149999999999999" customHeight="1" outlineLevel="1" x14ac:dyDescent="0.55000000000000004">
      <c r="A14" s="34"/>
      <c r="B14" s="544" t="s">
        <v>18</v>
      </c>
      <c r="C14" s="815">
        <v>11557552.380000001</v>
      </c>
      <c r="D14" s="356">
        <v>2904</v>
      </c>
      <c r="E14" s="356">
        <v>626</v>
      </c>
      <c r="F14" s="356">
        <v>0</v>
      </c>
      <c r="G14" s="356">
        <v>0</v>
      </c>
      <c r="H14" s="356">
        <v>325726.14</v>
      </c>
      <c r="I14" s="356">
        <v>0</v>
      </c>
      <c r="J14" s="356">
        <v>598465.5</v>
      </c>
      <c r="K14" s="356">
        <v>0</v>
      </c>
      <c r="L14" s="370">
        <v>271530.39999999997</v>
      </c>
      <c r="M14" s="356">
        <v>156216.75</v>
      </c>
      <c r="N14" s="379">
        <f t="shared" ref="N14" si="2">SUM(D14:M14)</f>
        <v>1355468.79</v>
      </c>
      <c r="O14" s="379">
        <f t="shared" ref="O14:O22" si="3">C14+N14</f>
        <v>12913021.170000002</v>
      </c>
    </row>
    <row r="15" spans="1:26" s="255" customFormat="1" ht="20.149999999999999" customHeight="1" outlineLevel="1" x14ac:dyDescent="0.55000000000000004">
      <c r="A15" s="34"/>
      <c r="B15" s="545" t="s">
        <v>19</v>
      </c>
      <c r="C15" s="815">
        <v>6439549.1399999997</v>
      </c>
      <c r="D15" s="356">
        <v>0</v>
      </c>
      <c r="E15" s="356">
        <v>0</v>
      </c>
      <c r="F15" s="356">
        <v>0</v>
      </c>
      <c r="G15" s="356">
        <v>30086</v>
      </c>
      <c r="H15" s="356">
        <v>2098554.8799999999</v>
      </c>
      <c r="I15" s="356">
        <v>0</v>
      </c>
      <c r="J15" s="356">
        <v>189380</v>
      </c>
      <c r="K15" s="356">
        <v>234536.45</v>
      </c>
      <c r="L15" s="370">
        <v>204972.87</v>
      </c>
      <c r="M15" s="356">
        <v>500550.28</v>
      </c>
      <c r="N15" s="379">
        <f t="shared" ref="N15:N22" si="4">SUM(D15:M15)</f>
        <v>3258080.4800000004</v>
      </c>
      <c r="O15" s="379">
        <f t="shared" si="3"/>
        <v>9697629.620000001</v>
      </c>
    </row>
    <row r="16" spans="1:26" s="255" customFormat="1" ht="20.149999999999999" customHeight="1" outlineLevel="1" x14ac:dyDescent="0.55000000000000004">
      <c r="A16" s="261"/>
      <c r="B16" s="545" t="s">
        <v>20</v>
      </c>
      <c r="C16" s="815">
        <v>6397184.7000000002</v>
      </c>
      <c r="D16" s="356">
        <v>0</v>
      </c>
      <c r="E16" s="356">
        <v>0</v>
      </c>
      <c r="F16" s="356">
        <v>0</v>
      </c>
      <c r="G16" s="356">
        <v>0</v>
      </c>
      <c r="H16" s="356">
        <v>73269.77</v>
      </c>
      <c r="I16" s="356">
        <v>6827.65</v>
      </c>
      <c r="J16" s="356">
        <v>0</v>
      </c>
      <c r="K16" s="356">
        <v>0</v>
      </c>
      <c r="L16" s="370">
        <v>167710.62</v>
      </c>
      <c r="M16" s="356">
        <v>94235.38</v>
      </c>
      <c r="N16" s="379">
        <f t="shared" si="4"/>
        <v>342043.42</v>
      </c>
      <c r="O16" s="379">
        <f t="shared" si="3"/>
        <v>6739228.1200000001</v>
      </c>
    </row>
    <row r="17" spans="1:26" s="255" customFormat="1" ht="20.149999999999999" customHeight="1" outlineLevel="1" x14ac:dyDescent="0.55000000000000004">
      <c r="A17" s="261"/>
      <c r="B17" s="545" t="s">
        <v>21</v>
      </c>
      <c r="C17" s="815">
        <v>5093108.8099999996</v>
      </c>
      <c r="D17" s="356">
        <v>0</v>
      </c>
      <c r="E17" s="356">
        <v>764.81</v>
      </c>
      <c r="F17" s="356">
        <v>6.61</v>
      </c>
      <c r="G17" s="356">
        <v>0</v>
      </c>
      <c r="H17" s="356">
        <v>473147.14</v>
      </c>
      <c r="I17" s="356">
        <v>5005.5200000000004</v>
      </c>
      <c r="J17" s="356">
        <v>0</v>
      </c>
      <c r="K17" s="356">
        <v>0</v>
      </c>
      <c r="L17" s="370">
        <v>92478.26</v>
      </c>
      <c r="M17" s="356">
        <v>111570.58</v>
      </c>
      <c r="N17" s="379">
        <f t="shared" si="4"/>
        <v>682972.91999999993</v>
      </c>
      <c r="O17" s="379">
        <f t="shared" si="3"/>
        <v>5776081.7299999995</v>
      </c>
    </row>
    <row r="18" spans="1:26" s="255" customFormat="1" ht="20.149999999999999" customHeight="1" outlineLevel="1" x14ac:dyDescent="0.55000000000000004">
      <c r="A18" s="261"/>
      <c r="B18" s="545" t="s">
        <v>22</v>
      </c>
      <c r="C18" s="815">
        <v>20923961.850000001</v>
      </c>
      <c r="D18" s="356">
        <v>17752514.220000003</v>
      </c>
      <c r="E18" s="356">
        <v>1608913.1600000001</v>
      </c>
      <c r="F18" s="356">
        <v>256.14999999999998</v>
      </c>
      <c r="G18" s="356">
        <v>44553.52</v>
      </c>
      <c r="H18" s="356">
        <v>58032815.690000005</v>
      </c>
      <c r="I18" s="356">
        <v>1356347.82</v>
      </c>
      <c r="J18" s="356">
        <v>8088545.46</v>
      </c>
      <c r="K18" s="356">
        <v>0</v>
      </c>
      <c r="L18" s="370">
        <v>522352.64000000001</v>
      </c>
      <c r="M18" s="356">
        <v>4526201.12</v>
      </c>
      <c r="N18" s="379">
        <f t="shared" si="4"/>
        <v>91932499.780000001</v>
      </c>
      <c r="O18" s="379">
        <f t="shared" si="3"/>
        <v>112856461.63</v>
      </c>
    </row>
    <row r="19" spans="1:26" s="255" customFormat="1" ht="20.149999999999999" customHeight="1" outlineLevel="1" x14ac:dyDescent="0.55000000000000004">
      <c r="A19" s="261"/>
      <c r="B19" s="545" t="s">
        <v>23</v>
      </c>
      <c r="C19" s="815">
        <v>5035221.53</v>
      </c>
      <c r="D19" s="356">
        <v>0</v>
      </c>
      <c r="E19" s="356">
        <v>0</v>
      </c>
      <c r="F19" s="356">
        <v>0</v>
      </c>
      <c r="G19" s="356">
        <v>0</v>
      </c>
      <c r="H19" s="356">
        <v>244595.14</v>
      </c>
      <c r="I19" s="356">
        <v>0</v>
      </c>
      <c r="J19" s="356">
        <v>0</v>
      </c>
      <c r="K19" s="356">
        <v>0</v>
      </c>
      <c r="L19" s="370">
        <v>114250.66</v>
      </c>
      <c r="M19" s="356">
        <v>248492.67</v>
      </c>
      <c r="N19" s="379">
        <f t="shared" si="4"/>
        <v>607338.47000000009</v>
      </c>
      <c r="O19" s="379">
        <f t="shared" si="3"/>
        <v>5642560</v>
      </c>
    </row>
    <row r="20" spans="1:26" s="255" customFormat="1" ht="20.149999999999999" customHeight="1" outlineLevel="1" x14ac:dyDescent="0.55000000000000004">
      <c r="A20" s="261"/>
      <c r="B20" s="545" t="s">
        <v>24</v>
      </c>
      <c r="C20" s="815">
        <v>8586796.6399999987</v>
      </c>
      <c r="D20" s="356">
        <v>345511.57</v>
      </c>
      <c r="E20" s="356">
        <v>16659.509999999998</v>
      </c>
      <c r="F20" s="356">
        <v>0</v>
      </c>
      <c r="G20" s="356">
        <v>220</v>
      </c>
      <c r="H20" s="356">
        <v>1039966.28</v>
      </c>
      <c r="I20" s="356">
        <v>74365.27</v>
      </c>
      <c r="J20" s="356">
        <v>0</v>
      </c>
      <c r="K20" s="356">
        <v>0</v>
      </c>
      <c r="L20" s="370">
        <v>280581.64</v>
      </c>
      <c r="M20" s="356">
        <v>472932.47</v>
      </c>
      <c r="N20" s="379">
        <f t="shared" si="4"/>
        <v>2230236.7400000002</v>
      </c>
      <c r="O20" s="379">
        <f t="shared" si="3"/>
        <v>10817033.379999999</v>
      </c>
    </row>
    <row r="21" spans="1:26" s="255" customFormat="1" ht="20.149999999999999" customHeight="1" outlineLevel="1" x14ac:dyDescent="0.55000000000000004">
      <c r="A21" s="261"/>
      <c r="B21" s="545" t="s">
        <v>25</v>
      </c>
      <c r="C21" s="815">
        <v>12332351.729999999</v>
      </c>
      <c r="D21" s="356">
        <v>100098.29</v>
      </c>
      <c r="E21" s="356">
        <v>53084.229999999996</v>
      </c>
      <c r="F21" s="356">
        <v>0</v>
      </c>
      <c r="G21" s="356">
        <v>6965</v>
      </c>
      <c r="H21" s="356">
        <v>982280.47</v>
      </c>
      <c r="I21" s="356">
        <v>28008.799999999999</v>
      </c>
      <c r="J21" s="356">
        <v>466345.24</v>
      </c>
      <c r="K21" s="356">
        <v>0</v>
      </c>
      <c r="L21" s="370">
        <v>298782.25999999995</v>
      </c>
      <c r="M21" s="356">
        <v>1113572.68</v>
      </c>
      <c r="N21" s="379">
        <f t="shared" si="4"/>
        <v>3049136.9699999997</v>
      </c>
      <c r="O21" s="379">
        <f t="shared" si="3"/>
        <v>15381488.699999999</v>
      </c>
    </row>
    <row r="22" spans="1:26" s="255" customFormat="1" ht="20.149999999999999" customHeight="1" outlineLevel="1" x14ac:dyDescent="0.55000000000000004">
      <c r="A22" s="261"/>
      <c r="B22" s="545" t="s">
        <v>26</v>
      </c>
      <c r="C22" s="815">
        <v>24435437.630000003</v>
      </c>
      <c r="D22" s="356">
        <v>24411158.73</v>
      </c>
      <c r="E22" s="356">
        <v>3249423.1599999997</v>
      </c>
      <c r="F22" s="356">
        <v>2.56</v>
      </c>
      <c r="G22" s="356">
        <v>13452</v>
      </c>
      <c r="H22" s="356">
        <v>13690813.59</v>
      </c>
      <c r="I22" s="356">
        <v>1469997.61</v>
      </c>
      <c r="J22" s="356">
        <v>2727028.95</v>
      </c>
      <c r="K22" s="356">
        <v>0</v>
      </c>
      <c r="L22" s="370">
        <v>248407.14</v>
      </c>
      <c r="M22" s="356">
        <v>7243995.1699999999</v>
      </c>
      <c r="N22" s="379">
        <f t="shared" si="4"/>
        <v>53054278.910000004</v>
      </c>
      <c r="O22" s="379">
        <f t="shared" si="3"/>
        <v>77489716.540000007</v>
      </c>
    </row>
    <row r="23" spans="1:26" s="255" customFormat="1" ht="20.149999999999999" customHeight="1" x14ac:dyDescent="0.55000000000000004">
      <c r="A23" s="21"/>
      <c r="B23" s="353" t="s">
        <v>1110</v>
      </c>
      <c r="C23" s="374">
        <f>SUM(C25:C33)</f>
        <v>100417452.70999999</v>
      </c>
      <c r="D23" s="374">
        <f t="shared" ref="D23:M23" si="5">SUM(D25:D33)</f>
        <v>42733465</v>
      </c>
      <c r="E23" s="374">
        <f t="shared" si="5"/>
        <v>4953138.72</v>
      </c>
      <c r="F23" s="374">
        <f t="shared" si="5"/>
        <v>265.32</v>
      </c>
      <c r="G23" s="374">
        <f t="shared" si="5"/>
        <v>97104.51999999999</v>
      </c>
      <c r="H23" s="374">
        <f t="shared" si="5"/>
        <v>76989426.219999999</v>
      </c>
      <c r="I23" s="374">
        <f t="shared" si="5"/>
        <v>2970508.96</v>
      </c>
      <c r="J23" s="374">
        <f t="shared" si="5"/>
        <v>12069765.150000002</v>
      </c>
      <c r="K23" s="374">
        <f t="shared" si="5"/>
        <v>234536.45</v>
      </c>
      <c r="L23" s="374">
        <f t="shared" si="5"/>
        <v>2200535.9699999997</v>
      </c>
      <c r="M23" s="374">
        <f t="shared" si="5"/>
        <v>14455486.379999999</v>
      </c>
      <c r="N23" s="384">
        <f>SUM(D23:M23)</f>
        <v>156704232.68999997</v>
      </c>
      <c r="O23" s="378">
        <f t="shared" ref="O23" si="6">N23+C23</f>
        <v>257121685.39999998</v>
      </c>
      <c r="P23" s="40"/>
      <c r="Q23" s="40"/>
      <c r="R23" s="40"/>
      <c r="S23" s="40"/>
      <c r="T23" s="40"/>
      <c r="U23" s="40"/>
      <c r="V23" s="40"/>
      <c r="W23" s="40"/>
      <c r="X23" s="40"/>
      <c r="Y23" s="40"/>
      <c r="Z23" s="40"/>
    </row>
    <row r="24" spans="1:26" ht="20.149999999999999" customHeight="1" x14ac:dyDescent="0.3">
      <c r="A24" s="2"/>
      <c r="B24" s="548" t="s">
        <v>1101</v>
      </c>
      <c r="C24" s="543"/>
      <c r="D24" s="543"/>
      <c r="E24" s="543"/>
      <c r="F24" s="543"/>
      <c r="G24" s="543"/>
      <c r="H24" s="543"/>
      <c r="I24" s="543"/>
      <c r="J24" s="543"/>
      <c r="K24" s="543"/>
      <c r="L24" s="543"/>
      <c r="M24" s="543"/>
      <c r="N24" s="543"/>
      <c r="O24" s="543"/>
    </row>
    <row r="25" spans="1:26" s="255" customFormat="1" ht="20.149999999999999" hidden="1" customHeight="1" outlineLevel="1" x14ac:dyDescent="0.55000000000000004">
      <c r="A25" s="34"/>
      <c r="B25" s="544" t="s">
        <v>18</v>
      </c>
      <c r="C25" s="579">
        <v>11530263</v>
      </c>
      <c r="D25" s="363">
        <v>2904</v>
      </c>
      <c r="E25" s="363">
        <v>626</v>
      </c>
      <c r="F25" s="363">
        <v>0</v>
      </c>
      <c r="G25" s="363">
        <v>0</v>
      </c>
      <c r="H25" s="363">
        <f>169645.16+156157.01</f>
        <v>325802.17000000004</v>
      </c>
      <c r="I25" s="363">
        <v>0</v>
      </c>
      <c r="J25" s="363">
        <v>598465.5</v>
      </c>
      <c r="K25" s="363">
        <v>0</v>
      </c>
      <c r="L25" s="580">
        <f>222889.75+23040.14+26059.99</f>
        <v>271989.88</v>
      </c>
      <c r="M25" s="363">
        <v>160183.35</v>
      </c>
      <c r="N25" s="381">
        <f t="shared" ref="N25" si="7">SUM(D25:M25)</f>
        <v>1359970.9000000001</v>
      </c>
      <c r="O25" s="381">
        <f t="shared" ref="O25" si="8">C25+N25</f>
        <v>12890233.9</v>
      </c>
    </row>
    <row r="26" spans="1:26" s="255" customFormat="1" ht="20.149999999999999" hidden="1" customHeight="1" outlineLevel="1" x14ac:dyDescent="0.55000000000000004">
      <c r="A26" s="34"/>
      <c r="B26" s="545" t="s">
        <v>19</v>
      </c>
      <c r="C26" s="579">
        <v>6441165.2300000004</v>
      </c>
      <c r="D26" s="363">
        <v>0</v>
      </c>
      <c r="E26" s="363">
        <v>0</v>
      </c>
      <c r="F26" s="363">
        <v>0</v>
      </c>
      <c r="G26" s="363">
        <v>30681</v>
      </c>
      <c r="H26" s="363">
        <f>1862610.19+253387.92</f>
        <v>2115998.11</v>
      </c>
      <c r="I26" s="363">
        <v>0</v>
      </c>
      <c r="J26" s="363">
        <v>189380</v>
      </c>
      <c r="K26" s="363">
        <v>234536.45</v>
      </c>
      <c r="L26" s="580">
        <f>151030.75+26918.7+27023.42</f>
        <v>204972.87</v>
      </c>
      <c r="M26" s="363">
        <v>497423.6</v>
      </c>
      <c r="N26" s="381">
        <f t="shared" ref="N26:N33" si="9">SUM(D26:M26)</f>
        <v>3272992.0300000003</v>
      </c>
      <c r="O26" s="381">
        <f t="shared" ref="O26:O33" si="10">C26+N26</f>
        <v>9714157.2600000016</v>
      </c>
    </row>
    <row r="27" spans="1:26" s="255" customFormat="1" ht="20.149999999999999" hidden="1" customHeight="1" outlineLevel="1" x14ac:dyDescent="0.55000000000000004">
      <c r="A27" s="261"/>
      <c r="B27" s="545" t="s">
        <v>20</v>
      </c>
      <c r="C27" s="579">
        <v>6348815.9199999999</v>
      </c>
      <c r="D27" s="363">
        <v>0</v>
      </c>
      <c r="E27" s="363">
        <v>0</v>
      </c>
      <c r="F27" s="363">
        <v>0</v>
      </c>
      <c r="G27" s="363">
        <v>0</v>
      </c>
      <c r="H27" s="363">
        <f>68565.13+4949.64</f>
        <v>73514.77</v>
      </c>
      <c r="I27" s="363">
        <v>6827.65</v>
      </c>
      <c r="J27" s="363">
        <v>0</v>
      </c>
      <c r="K27" s="363">
        <v>0</v>
      </c>
      <c r="L27" s="580">
        <f>70490.65+47541.28+49678.69</f>
        <v>167710.62</v>
      </c>
      <c r="M27" s="363">
        <f>119523.32</f>
        <v>119523.32</v>
      </c>
      <c r="N27" s="381">
        <f t="shared" si="9"/>
        <v>367576.36</v>
      </c>
      <c r="O27" s="381">
        <f t="shared" si="10"/>
        <v>6716392.2800000003</v>
      </c>
    </row>
    <row r="28" spans="1:26" s="255" customFormat="1" ht="20.149999999999999" hidden="1" customHeight="1" outlineLevel="1" x14ac:dyDescent="0.55000000000000004">
      <c r="A28" s="261"/>
      <c r="B28" s="545" t="s">
        <v>21</v>
      </c>
      <c r="C28" s="579">
        <v>5090143.79</v>
      </c>
      <c r="D28" s="363">
        <v>0</v>
      </c>
      <c r="E28" s="363">
        <f>552+212.81</f>
        <v>764.81</v>
      </c>
      <c r="F28" s="363">
        <v>6.61</v>
      </c>
      <c r="G28" s="363">
        <v>0</v>
      </c>
      <c r="H28" s="363">
        <f>454718.42+13809.11</f>
        <v>468527.52999999997</v>
      </c>
      <c r="I28" s="363">
        <v>7325.75</v>
      </c>
      <c r="J28" s="363">
        <v>0</v>
      </c>
      <c r="K28" s="363">
        <v>0</v>
      </c>
      <c r="L28" s="580">
        <f>73002.07+9738.12+9738.07</f>
        <v>92478.260000000009</v>
      </c>
      <c r="M28" s="363">
        <v>96030.45</v>
      </c>
      <c r="N28" s="381">
        <f t="shared" si="9"/>
        <v>665133.40999999992</v>
      </c>
      <c r="O28" s="381">
        <f t="shared" si="10"/>
        <v>5755277.2000000002</v>
      </c>
    </row>
    <row r="29" spans="1:26" s="255" customFormat="1" ht="20.149999999999999" hidden="1" customHeight="1" outlineLevel="1" x14ac:dyDescent="0.55000000000000004">
      <c r="A29" s="261"/>
      <c r="B29" s="545" t="s">
        <v>22</v>
      </c>
      <c r="C29" s="579">
        <f>20530632.9+218499.32</f>
        <v>20749132.219999999</v>
      </c>
      <c r="D29" s="363">
        <f>17516124.48+20882.15+281693.96</f>
        <v>17818700.59</v>
      </c>
      <c r="E29" s="363">
        <f>1571957.67+10793.82+30928.09</f>
        <v>1613679.58</v>
      </c>
      <c r="F29" s="363">
        <v>256.14999999999998</v>
      </c>
      <c r="G29" s="363">
        <v>45786.52</v>
      </c>
      <c r="H29" s="363">
        <f>55572431.04+2477010.76</f>
        <v>58049441.799999997</v>
      </c>
      <c r="I29" s="363">
        <v>1386133.27</v>
      </c>
      <c r="J29" s="363">
        <f>8088545.46</f>
        <v>8088545.46</v>
      </c>
      <c r="K29" s="363">
        <v>0</v>
      </c>
      <c r="L29" s="580">
        <f>509923.4+5344.18+6095.06</f>
        <v>521362.64</v>
      </c>
      <c r="M29" s="363">
        <f>4547975.09</f>
        <v>4547975.09</v>
      </c>
      <c r="N29" s="381">
        <f t="shared" si="9"/>
        <v>92071881.099999994</v>
      </c>
      <c r="O29" s="381">
        <f t="shared" si="10"/>
        <v>112821013.31999999</v>
      </c>
    </row>
    <row r="30" spans="1:26" s="255" customFormat="1" ht="20.149999999999999" hidden="1" customHeight="1" outlineLevel="1" x14ac:dyDescent="0.55000000000000004">
      <c r="A30" s="261"/>
      <c r="B30" s="545" t="s">
        <v>23</v>
      </c>
      <c r="C30" s="579">
        <v>5036215.33</v>
      </c>
      <c r="D30" s="363">
        <v>0</v>
      </c>
      <c r="E30" s="363">
        <v>0</v>
      </c>
      <c r="F30" s="363">
        <v>0</v>
      </c>
      <c r="G30" s="363">
        <v>0</v>
      </c>
      <c r="H30" s="363">
        <f>82804.92+159644.33</f>
        <v>242449.25</v>
      </c>
      <c r="I30" s="363">
        <v>0</v>
      </c>
      <c r="J30" s="363">
        <v>0</v>
      </c>
      <c r="K30" s="363">
        <v>0</v>
      </c>
      <c r="L30" s="580">
        <f>106667.11+3791.8+3791.75</f>
        <v>114250.66</v>
      </c>
      <c r="M30" s="363">
        <v>247268.04</v>
      </c>
      <c r="N30" s="381">
        <f t="shared" si="9"/>
        <v>603967.95000000007</v>
      </c>
      <c r="O30" s="381">
        <f t="shared" si="10"/>
        <v>5640183.2800000003</v>
      </c>
    </row>
    <row r="31" spans="1:26" s="255" customFormat="1" ht="20.149999999999999" hidden="1" customHeight="1" outlineLevel="1" x14ac:dyDescent="0.55000000000000004">
      <c r="A31" s="261"/>
      <c r="B31" s="545" t="s">
        <v>24</v>
      </c>
      <c r="C31" s="579">
        <f>8568726.86+150.61</f>
        <v>8568877.4699999988</v>
      </c>
      <c r="D31" s="363">
        <f>199992.39+17.18+148993</f>
        <v>349002.57</v>
      </c>
      <c r="E31" s="363">
        <f>5266.43+1270.86+10851.13</f>
        <v>17388.419999999998</v>
      </c>
      <c r="F31" s="363">
        <v>0</v>
      </c>
      <c r="G31" s="363">
        <v>220</v>
      </c>
      <c r="H31" s="363">
        <f>563274.48+447073.63</f>
        <v>1010348.11</v>
      </c>
      <c r="I31" s="363">
        <v>80356.88</v>
      </c>
      <c r="J31" s="363">
        <v>0</v>
      </c>
      <c r="K31" s="363">
        <v>0</v>
      </c>
      <c r="L31" s="580">
        <f>280279.39+31.68+270.57</f>
        <v>280581.64</v>
      </c>
      <c r="M31" s="363">
        <v>478471.62</v>
      </c>
      <c r="N31" s="381">
        <f t="shared" si="9"/>
        <v>2216369.2400000002</v>
      </c>
      <c r="O31" s="381">
        <f t="shared" si="10"/>
        <v>10785246.709999999</v>
      </c>
    </row>
    <row r="32" spans="1:26" s="255" customFormat="1" ht="20.149999999999999" hidden="1" customHeight="1" outlineLevel="1" x14ac:dyDescent="0.55000000000000004">
      <c r="A32" s="261"/>
      <c r="B32" s="545" t="s">
        <v>25</v>
      </c>
      <c r="C32" s="579">
        <f>12320047.58+99.86</f>
        <v>12320147.439999999</v>
      </c>
      <c r="D32" s="363">
        <f>15076.44+3053.64+94534.57</f>
        <v>112664.65000000001</v>
      </c>
      <c r="E32" s="363">
        <f>12340.37+4697.66+36509.81</f>
        <v>53547.839999999997</v>
      </c>
      <c r="F32" s="363">
        <v>0</v>
      </c>
      <c r="G32" s="363">
        <v>6965</v>
      </c>
      <c r="H32" s="363">
        <f>118537.31+868584.28</f>
        <v>987121.59000000008</v>
      </c>
      <c r="I32" s="363">
        <v>28348.799999999999</v>
      </c>
      <c r="J32" s="363">
        <v>466345.24</v>
      </c>
      <c r="K32" s="363">
        <v>0</v>
      </c>
      <c r="L32" s="580">
        <f>291386.93+3586.48+3808.85</f>
        <v>298782.25999999995</v>
      </c>
      <c r="M32" s="363">
        <v>1112085.8</v>
      </c>
      <c r="N32" s="381">
        <f t="shared" si="9"/>
        <v>3065861.18</v>
      </c>
      <c r="O32" s="381">
        <f t="shared" si="10"/>
        <v>15386008.619999999</v>
      </c>
    </row>
    <row r="33" spans="1:26" s="255" customFormat="1" ht="20.149999999999999" hidden="1" customHeight="1" outlineLevel="1" x14ac:dyDescent="0.55000000000000004">
      <c r="A33" s="261"/>
      <c r="B33" s="545" t="s">
        <v>26</v>
      </c>
      <c r="C33" s="579">
        <f>23944862.68+387829.63</f>
        <v>24332692.309999999</v>
      </c>
      <c r="D33" s="363">
        <f>24277007.42+7583.39+165602.38</f>
        <v>24450193.190000001</v>
      </c>
      <c r="E33" s="363">
        <f>3133188.98+37862.46+96080.63</f>
        <v>3267132.07</v>
      </c>
      <c r="F33" s="363">
        <f>2.56</f>
        <v>2.56</v>
      </c>
      <c r="G33" s="363">
        <f>13452</f>
        <v>13452</v>
      </c>
      <c r="H33" s="363">
        <f>13276631.91+439590.98</f>
        <v>13716222.890000001</v>
      </c>
      <c r="I33" s="363">
        <v>1461516.61</v>
      </c>
      <c r="J33" s="363">
        <v>2727028.95</v>
      </c>
      <c r="K33" s="363">
        <v>0</v>
      </c>
      <c r="L33" s="580">
        <f>238496.6+4955.31+4955.23</f>
        <v>248407.14</v>
      </c>
      <c r="M33" s="363">
        <f>7196525.11</f>
        <v>7196525.1100000003</v>
      </c>
      <c r="N33" s="381">
        <f t="shared" si="9"/>
        <v>53080480.520000003</v>
      </c>
      <c r="O33" s="381">
        <f t="shared" si="10"/>
        <v>77413172.829999998</v>
      </c>
    </row>
    <row r="34" spans="1:26" s="255" customFormat="1" ht="20.149999999999999" customHeight="1" collapsed="1" x14ac:dyDescent="0.55000000000000004">
      <c r="A34" s="21"/>
      <c r="B34" s="531" t="s">
        <v>1078</v>
      </c>
      <c r="C34" s="374">
        <v>100223290</v>
      </c>
      <c r="D34" s="374">
        <v>42834474</v>
      </c>
      <c r="E34" s="374">
        <v>4981909</v>
      </c>
      <c r="F34" s="374">
        <v>265</v>
      </c>
      <c r="G34" s="374">
        <v>97095</v>
      </c>
      <c r="H34" s="374">
        <v>76935786</v>
      </c>
      <c r="I34" s="374">
        <v>2959250</v>
      </c>
      <c r="J34" s="374">
        <v>12069766</v>
      </c>
      <c r="K34" s="374">
        <v>234536</v>
      </c>
      <c r="L34" s="374">
        <v>2206072</v>
      </c>
      <c r="M34" s="374">
        <v>14370434</v>
      </c>
      <c r="N34" s="384">
        <f>SUM(D34:M34)</f>
        <v>156689587</v>
      </c>
      <c r="O34" s="378">
        <f t="shared" ref="O34" si="11">N34+C34</f>
        <v>256912877</v>
      </c>
      <c r="P34" s="40"/>
      <c r="Q34" s="40"/>
      <c r="R34" s="40"/>
      <c r="S34" s="40"/>
      <c r="T34" s="40"/>
      <c r="U34" s="40"/>
      <c r="V34" s="40"/>
      <c r="W34" s="40"/>
      <c r="X34" s="40"/>
      <c r="Y34" s="40"/>
      <c r="Z34" s="40"/>
    </row>
    <row r="35" spans="1:26" ht="20.149999999999999" customHeight="1" x14ac:dyDescent="0.3">
      <c r="A35" s="2"/>
      <c r="B35" s="548" t="s">
        <v>1101</v>
      </c>
      <c r="C35" s="543"/>
      <c r="D35" s="543"/>
      <c r="E35" s="543"/>
      <c r="F35" s="543"/>
      <c r="G35" s="543"/>
      <c r="H35" s="543"/>
      <c r="I35" s="543"/>
      <c r="J35" s="543"/>
      <c r="K35" s="543"/>
      <c r="L35" s="543"/>
      <c r="M35" s="543"/>
      <c r="N35" s="543"/>
      <c r="O35" s="543"/>
    </row>
    <row r="36" spans="1:26" s="255" customFormat="1" ht="20.149999999999999" hidden="1" customHeight="1" outlineLevel="1" x14ac:dyDescent="0.55000000000000004">
      <c r="A36" s="34"/>
      <c r="B36" s="544" t="s">
        <v>18</v>
      </c>
      <c r="C36" s="374">
        <v>11516626</v>
      </c>
      <c r="D36" s="366">
        <v>2904</v>
      </c>
      <c r="E36" s="366">
        <v>626</v>
      </c>
      <c r="F36" s="366">
        <v>0</v>
      </c>
      <c r="G36" s="366">
        <v>0</v>
      </c>
      <c r="H36" s="366">
        <v>325968</v>
      </c>
      <c r="I36" s="366">
        <v>0</v>
      </c>
      <c r="J36" s="366">
        <v>598466</v>
      </c>
      <c r="K36" s="366">
        <v>0</v>
      </c>
      <c r="L36" s="533">
        <v>276925</v>
      </c>
      <c r="M36" s="366">
        <v>191096</v>
      </c>
      <c r="N36" s="378">
        <f t="shared" ref="N36:N44" si="12">SUM(D36:M36)</f>
        <v>1395985</v>
      </c>
      <c r="O36" s="378">
        <f t="shared" ref="O36" si="13">C36+N36</f>
        <v>12912611</v>
      </c>
    </row>
    <row r="37" spans="1:26" s="255" customFormat="1" ht="20.149999999999999" hidden="1" customHeight="1" outlineLevel="1" x14ac:dyDescent="0.55000000000000004">
      <c r="A37" s="34"/>
      <c r="B37" s="545" t="s">
        <v>19</v>
      </c>
      <c r="C37" s="366">
        <v>6438401</v>
      </c>
      <c r="D37" s="366">
        <v>0</v>
      </c>
      <c r="E37" s="366">
        <v>0</v>
      </c>
      <c r="F37" s="366">
        <v>0</v>
      </c>
      <c r="G37" s="366">
        <v>30681</v>
      </c>
      <c r="H37" s="366">
        <v>2116070</v>
      </c>
      <c r="I37" s="366">
        <v>0</v>
      </c>
      <c r="J37" s="366">
        <v>189380</v>
      </c>
      <c r="K37" s="366">
        <v>234536</v>
      </c>
      <c r="L37" s="366">
        <v>204973</v>
      </c>
      <c r="M37" s="366">
        <v>500519</v>
      </c>
      <c r="N37" s="378">
        <f t="shared" si="12"/>
        <v>3276159</v>
      </c>
      <c r="O37" s="378">
        <f t="shared" ref="O37:O44" si="14">N37+C37</f>
        <v>9714560</v>
      </c>
    </row>
    <row r="38" spans="1:26" s="255" customFormat="1" ht="20.149999999999999" hidden="1" customHeight="1" outlineLevel="1" x14ac:dyDescent="0.55000000000000004">
      <c r="A38" s="261"/>
      <c r="B38" s="545" t="s">
        <v>20</v>
      </c>
      <c r="C38" s="107">
        <v>6339649</v>
      </c>
      <c r="D38" s="366">
        <v>0</v>
      </c>
      <c r="E38" s="366">
        <v>0</v>
      </c>
      <c r="F38" s="366">
        <v>0</v>
      </c>
      <c r="G38" s="366">
        <v>0</v>
      </c>
      <c r="H38" s="107">
        <v>73308</v>
      </c>
      <c r="I38" s="366">
        <v>7277</v>
      </c>
      <c r="J38" s="366">
        <v>0</v>
      </c>
      <c r="K38" s="366">
        <v>0</v>
      </c>
      <c r="L38" s="366">
        <v>167711</v>
      </c>
      <c r="M38" s="366">
        <v>104798</v>
      </c>
      <c r="N38" s="378">
        <f t="shared" si="12"/>
        <v>353094</v>
      </c>
      <c r="O38" s="378">
        <f t="shared" si="14"/>
        <v>6692743</v>
      </c>
    </row>
    <row r="39" spans="1:26" s="255" customFormat="1" ht="20.149999999999999" hidden="1" customHeight="1" outlineLevel="1" x14ac:dyDescent="0.55000000000000004">
      <c r="A39" s="261"/>
      <c r="B39" s="545" t="s">
        <v>21</v>
      </c>
      <c r="C39" s="366">
        <v>5077190</v>
      </c>
      <c r="D39" s="366">
        <v>0</v>
      </c>
      <c r="E39" s="366">
        <v>552</v>
      </c>
      <c r="F39" s="366">
        <v>7</v>
      </c>
      <c r="G39" s="366">
        <v>0</v>
      </c>
      <c r="H39" s="366">
        <v>470231</v>
      </c>
      <c r="I39" s="366">
        <v>7326</v>
      </c>
      <c r="J39" s="366">
        <v>0</v>
      </c>
      <c r="K39" s="366">
        <v>0</v>
      </c>
      <c r="L39" s="366">
        <v>92478</v>
      </c>
      <c r="M39" s="366">
        <v>96527</v>
      </c>
      <c r="N39" s="378">
        <f t="shared" si="12"/>
        <v>667121</v>
      </c>
      <c r="O39" s="378">
        <f t="shared" si="14"/>
        <v>5744311</v>
      </c>
    </row>
    <row r="40" spans="1:26" s="255" customFormat="1" ht="20.149999999999999" hidden="1" customHeight="1" outlineLevel="1" x14ac:dyDescent="0.55000000000000004">
      <c r="A40" s="261"/>
      <c r="B40" s="545" t="s">
        <v>22</v>
      </c>
      <c r="C40" s="366">
        <v>20740891</v>
      </c>
      <c r="D40" s="366">
        <v>17893295</v>
      </c>
      <c r="E40" s="366">
        <v>1618291</v>
      </c>
      <c r="F40" s="366">
        <v>256</v>
      </c>
      <c r="G40" s="366">
        <v>45777</v>
      </c>
      <c r="H40" s="366">
        <v>57947453</v>
      </c>
      <c r="I40" s="366">
        <v>1360360</v>
      </c>
      <c r="J40" s="366">
        <v>8088545</v>
      </c>
      <c r="K40" s="366">
        <v>0</v>
      </c>
      <c r="L40" s="366">
        <v>521363</v>
      </c>
      <c r="M40" s="366">
        <v>4500772</v>
      </c>
      <c r="N40" s="378">
        <f t="shared" si="12"/>
        <v>91976112</v>
      </c>
      <c r="O40" s="378">
        <f t="shared" si="14"/>
        <v>112717003</v>
      </c>
    </row>
    <row r="41" spans="1:26" s="255" customFormat="1" ht="20.149999999999999" hidden="1" customHeight="1" outlineLevel="1" x14ac:dyDescent="0.55000000000000004">
      <c r="A41" s="261"/>
      <c r="B41" s="545" t="s">
        <v>23</v>
      </c>
      <c r="C41" s="366">
        <v>5054485</v>
      </c>
      <c r="D41" s="366">
        <v>0</v>
      </c>
      <c r="E41" s="366">
        <v>0</v>
      </c>
      <c r="F41" s="366">
        <v>0</v>
      </c>
      <c r="G41" s="366">
        <v>0</v>
      </c>
      <c r="H41" s="366">
        <v>241829</v>
      </c>
      <c r="I41" s="366">
        <v>0</v>
      </c>
      <c r="J41" s="366">
        <v>0</v>
      </c>
      <c r="K41" s="366">
        <v>0</v>
      </c>
      <c r="L41" s="366">
        <v>114851</v>
      </c>
      <c r="M41" s="366">
        <v>243247</v>
      </c>
      <c r="N41" s="378">
        <f t="shared" si="12"/>
        <v>599927</v>
      </c>
      <c r="O41" s="378">
        <f t="shared" si="14"/>
        <v>5654412</v>
      </c>
    </row>
    <row r="42" spans="1:26" s="255" customFormat="1" ht="20.149999999999999" hidden="1" customHeight="1" outlineLevel="1" x14ac:dyDescent="0.55000000000000004">
      <c r="A42" s="261"/>
      <c r="B42" s="545" t="s">
        <v>24</v>
      </c>
      <c r="C42" s="366">
        <v>8566953</v>
      </c>
      <c r="D42" s="366">
        <v>354199</v>
      </c>
      <c r="E42" s="366">
        <v>17388</v>
      </c>
      <c r="F42" s="366">
        <v>0</v>
      </c>
      <c r="G42" s="366">
        <v>220</v>
      </c>
      <c r="H42" s="366">
        <v>1019555</v>
      </c>
      <c r="I42" s="366">
        <v>80400</v>
      </c>
      <c r="J42" s="366">
        <v>0</v>
      </c>
      <c r="K42" s="366">
        <v>0</v>
      </c>
      <c r="L42" s="366">
        <v>280582</v>
      </c>
      <c r="M42" s="366">
        <v>463547</v>
      </c>
      <c r="N42" s="378">
        <f t="shared" si="12"/>
        <v>2215891</v>
      </c>
      <c r="O42" s="378">
        <f t="shared" si="14"/>
        <v>10782844</v>
      </c>
    </row>
    <row r="43" spans="1:26" s="255" customFormat="1" ht="20.149999999999999" hidden="1" customHeight="1" outlineLevel="1" x14ac:dyDescent="0.55000000000000004">
      <c r="A43" s="261"/>
      <c r="B43" s="545" t="s">
        <v>25</v>
      </c>
      <c r="C43" s="366">
        <v>12280844</v>
      </c>
      <c r="D43" s="366">
        <v>121053</v>
      </c>
      <c r="E43" s="366">
        <v>52798</v>
      </c>
      <c r="F43" s="366">
        <v>0</v>
      </c>
      <c r="G43" s="366">
        <v>6965</v>
      </c>
      <c r="H43" s="366">
        <v>983867</v>
      </c>
      <c r="I43" s="366">
        <v>29937</v>
      </c>
      <c r="J43" s="366">
        <v>466345</v>
      </c>
      <c r="K43" s="366">
        <v>0</v>
      </c>
      <c r="L43" s="366">
        <v>298782</v>
      </c>
      <c r="M43" s="366">
        <v>1113906</v>
      </c>
      <c r="N43" s="378">
        <f t="shared" si="12"/>
        <v>3073653</v>
      </c>
      <c r="O43" s="378">
        <f t="shared" si="14"/>
        <v>15354497</v>
      </c>
    </row>
    <row r="44" spans="1:26" s="255" customFormat="1" ht="20.149999999999999" hidden="1" customHeight="1" outlineLevel="1" x14ac:dyDescent="0.55000000000000004">
      <c r="A44" s="261"/>
      <c r="B44" s="545" t="s">
        <v>26</v>
      </c>
      <c r="C44" s="366">
        <v>24208251</v>
      </c>
      <c r="D44" s="366">
        <v>24463023</v>
      </c>
      <c r="E44" s="366">
        <v>3292253</v>
      </c>
      <c r="F44" s="366">
        <v>3</v>
      </c>
      <c r="G44" s="366">
        <v>13452</v>
      </c>
      <c r="H44" s="366">
        <v>13757506</v>
      </c>
      <c r="I44" s="366">
        <v>1473951</v>
      </c>
      <c r="J44" s="366">
        <v>2727029</v>
      </c>
      <c r="K44" s="366">
        <v>0</v>
      </c>
      <c r="L44" s="366">
        <v>248407</v>
      </c>
      <c r="M44" s="366">
        <v>7156023</v>
      </c>
      <c r="N44" s="378">
        <f t="shared" si="12"/>
        <v>53131647</v>
      </c>
      <c r="O44" s="378">
        <f t="shared" si="14"/>
        <v>77339898</v>
      </c>
    </row>
    <row r="45" spans="1:26" s="255" customFormat="1" ht="20.149999999999999" customHeight="1" collapsed="1" x14ac:dyDescent="0.55000000000000004">
      <c r="A45" s="21"/>
      <c r="B45" s="531" t="s">
        <v>1079</v>
      </c>
      <c r="C45" s="374">
        <v>100027168</v>
      </c>
      <c r="D45" s="374">
        <v>42965089</v>
      </c>
      <c r="E45" s="374">
        <v>4989027</v>
      </c>
      <c r="F45" s="374">
        <v>265</v>
      </c>
      <c r="G45" s="374">
        <v>99582</v>
      </c>
      <c r="H45" s="374">
        <v>77017020</v>
      </c>
      <c r="I45" s="374">
        <v>2967870</v>
      </c>
      <c r="J45" s="374">
        <v>12069765</v>
      </c>
      <c r="K45" s="374">
        <v>234536</v>
      </c>
      <c r="L45" s="374">
        <v>2205867</v>
      </c>
      <c r="M45" s="374">
        <v>14191154</v>
      </c>
      <c r="N45" s="384">
        <f>SUM(D45:M45)</f>
        <v>156740175</v>
      </c>
      <c r="O45" s="378">
        <f t="shared" ref="O45:O79" si="15">N45+C45</f>
        <v>256767343</v>
      </c>
      <c r="P45" s="40"/>
      <c r="Q45" s="40"/>
      <c r="R45" s="40"/>
      <c r="S45" s="40"/>
      <c r="T45" s="40"/>
      <c r="U45" s="40"/>
      <c r="V45" s="40"/>
      <c r="W45" s="40"/>
      <c r="X45" s="40"/>
      <c r="Y45" s="40"/>
      <c r="Z45" s="40"/>
    </row>
    <row r="46" spans="1:26" ht="20.149999999999999" customHeight="1" x14ac:dyDescent="0.3">
      <c r="A46" s="2"/>
      <c r="B46" s="548" t="s">
        <v>1101</v>
      </c>
      <c r="C46" s="543"/>
      <c r="D46" s="543"/>
      <c r="E46" s="543"/>
      <c r="F46" s="543"/>
      <c r="G46" s="543"/>
      <c r="H46" s="543"/>
      <c r="I46" s="543"/>
      <c r="J46" s="543"/>
      <c r="K46" s="543"/>
      <c r="L46" s="543"/>
      <c r="M46" s="543"/>
      <c r="N46" s="543"/>
      <c r="O46" s="543"/>
    </row>
    <row r="47" spans="1:26" s="255" customFormat="1" ht="20.149999999999999" hidden="1" customHeight="1" outlineLevel="1" x14ac:dyDescent="0.55000000000000004">
      <c r="A47" s="34"/>
      <c r="B47" s="544" t="s">
        <v>18</v>
      </c>
      <c r="C47" s="374">
        <v>11512255</v>
      </c>
      <c r="D47" s="366">
        <v>2904</v>
      </c>
      <c r="E47" s="366">
        <v>626</v>
      </c>
      <c r="F47" s="366">
        <v>0</v>
      </c>
      <c r="G47" s="366">
        <v>0</v>
      </c>
      <c r="H47" s="366">
        <v>327064</v>
      </c>
      <c r="I47" s="366">
        <v>0</v>
      </c>
      <c r="J47" s="366">
        <v>598466</v>
      </c>
      <c r="K47" s="366">
        <v>0</v>
      </c>
      <c r="L47" s="533">
        <v>276495</v>
      </c>
      <c r="M47" s="366">
        <v>198775</v>
      </c>
      <c r="N47" s="378">
        <f t="shared" ref="N47:N55" si="16">SUM(D47:M47)</f>
        <v>1404330</v>
      </c>
      <c r="O47" s="378">
        <f t="shared" ref="O47" si="17">C47+N47</f>
        <v>12916585</v>
      </c>
    </row>
    <row r="48" spans="1:26" s="255" customFormat="1" ht="20.149999999999999" hidden="1" customHeight="1" outlineLevel="1" x14ac:dyDescent="0.55000000000000004">
      <c r="A48" s="34"/>
      <c r="B48" s="545" t="s">
        <v>19</v>
      </c>
      <c r="C48" s="366">
        <v>6430061</v>
      </c>
      <c r="D48" s="366">
        <v>0</v>
      </c>
      <c r="E48" s="366">
        <v>0</v>
      </c>
      <c r="F48" s="366">
        <v>0</v>
      </c>
      <c r="G48" s="366">
        <v>32995</v>
      </c>
      <c r="H48" s="366">
        <v>2123083</v>
      </c>
      <c r="I48" s="366">
        <v>0</v>
      </c>
      <c r="J48" s="366">
        <v>189380</v>
      </c>
      <c r="K48" s="366">
        <v>234536</v>
      </c>
      <c r="L48" s="366">
        <v>204973</v>
      </c>
      <c r="M48" s="366">
        <v>505531</v>
      </c>
      <c r="N48" s="378">
        <f t="shared" si="16"/>
        <v>3290498</v>
      </c>
      <c r="O48" s="378">
        <f t="shared" ref="O48:O55" si="18">N48+C48</f>
        <v>9720559</v>
      </c>
    </row>
    <row r="49" spans="1:26" s="255" customFormat="1" ht="20.149999999999999" hidden="1" customHeight="1" outlineLevel="1" x14ac:dyDescent="0.55000000000000004">
      <c r="A49" s="261"/>
      <c r="B49" s="545" t="s">
        <v>20</v>
      </c>
      <c r="C49" s="107">
        <v>6313989</v>
      </c>
      <c r="D49" s="366">
        <v>0</v>
      </c>
      <c r="E49" s="366">
        <v>0</v>
      </c>
      <c r="F49" s="366">
        <v>0</v>
      </c>
      <c r="G49" s="366">
        <v>0</v>
      </c>
      <c r="H49" s="107">
        <v>74203</v>
      </c>
      <c r="I49" s="366">
        <v>7322</v>
      </c>
      <c r="J49" s="366">
        <v>0</v>
      </c>
      <c r="K49" s="366">
        <v>0</v>
      </c>
      <c r="L49" s="366">
        <v>168066</v>
      </c>
      <c r="M49" s="366">
        <v>101437</v>
      </c>
      <c r="N49" s="378">
        <f t="shared" si="16"/>
        <v>351028</v>
      </c>
      <c r="O49" s="378">
        <f t="shared" si="18"/>
        <v>6665017</v>
      </c>
    </row>
    <row r="50" spans="1:26" s="255" customFormat="1" ht="20.149999999999999" hidden="1" customHeight="1" outlineLevel="1" x14ac:dyDescent="0.55000000000000004">
      <c r="A50" s="261"/>
      <c r="B50" s="545" t="s">
        <v>21</v>
      </c>
      <c r="C50" s="366">
        <v>5073133</v>
      </c>
      <c r="D50" s="366">
        <v>0</v>
      </c>
      <c r="E50" s="366">
        <v>552</v>
      </c>
      <c r="F50" s="366">
        <v>7</v>
      </c>
      <c r="G50" s="366">
        <v>0</v>
      </c>
      <c r="H50" s="366">
        <v>476436</v>
      </c>
      <c r="I50" s="366">
        <v>7326</v>
      </c>
      <c r="J50" s="366">
        <v>0</v>
      </c>
      <c r="K50" s="366">
        <v>0</v>
      </c>
      <c r="L50" s="366">
        <v>92478</v>
      </c>
      <c r="M50" s="366">
        <v>96445</v>
      </c>
      <c r="N50" s="378">
        <f t="shared" si="16"/>
        <v>673244</v>
      </c>
      <c r="O50" s="378">
        <f t="shared" si="18"/>
        <v>5746377</v>
      </c>
    </row>
    <row r="51" spans="1:26" s="255" customFormat="1" ht="20.149999999999999" hidden="1" customHeight="1" outlineLevel="1" x14ac:dyDescent="0.55000000000000004">
      <c r="A51" s="261"/>
      <c r="B51" s="545" t="s">
        <v>22</v>
      </c>
      <c r="C51" s="366">
        <v>20727943</v>
      </c>
      <c r="D51" s="366">
        <v>17983774</v>
      </c>
      <c r="E51" s="366">
        <v>1619322</v>
      </c>
      <c r="F51" s="366">
        <v>256</v>
      </c>
      <c r="G51" s="366">
        <v>45731</v>
      </c>
      <c r="H51" s="366">
        <v>57986426</v>
      </c>
      <c r="I51" s="366">
        <v>1362501</v>
      </c>
      <c r="J51" s="366">
        <v>8088545</v>
      </c>
      <c r="K51" s="366">
        <v>0</v>
      </c>
      <c r="L51" s="366">
        <v>521363</v>
      </c>
      <c r="M51" s="366">
        <v>4403393</v>
      </c>
      <c r="N51" s="378">
        <f t="shared" si="16"/>
        <v>92011311</v>
      </c>
      <c r="O51" s="378">
        <f t="shared" si="18"/>
        <v>112739254</v>
      </c>
    </row>
    <row r="52" spans="1:26" s="255" customFormat="1" ht="20.149999999999999" hidden="1" customHeight="1" outlineLevel="1" x14ac:dyDescent="0.55000000000000004">
      <c r="A52" s="261"/>
      <c r="B52" s="545" t="s">
        <v>23</v>
      </c>
      <c r="C52" s="366">
        <v>5061281</v>
      </c>
      <c r="D52" s="366">
        <v>0</v>
      </c>
      <c r="E52" s="366">
        <v>3693</v>
      </c>
      <c r="F52" s="366">
        <v>0</v>
      </c>
      <c r="G52" s="366">
        <v>0</v>
      </c>
      <c r="H52" s="366">
        <v>241476</v>
      </c>
      <c r="I52" s="366">
        <v>0</v>
      </c>
      <c r="J52" s="366">
        <v>0</v>
      </c>
      <c r="K52" s="366">
        <v>0</v>
      </c>
      <c r="L52" s="366">
        <v>114851</v>
      </c>
      <c r="M52" s="366">
        <v>240650</v>
      </c>
      <c r="N52" s="378">
        <f t="shared" si="16"/>
        <v>600670</v>
      </c>
      <c r="O52" s="378">
        <f t="shared" si="18"/>
        <v>5661951</v>
      </c>
    </row>
    <row r="53" spans="1:26" s="255" customFormat="1" ht="20.149999999999999" hidden="1" customHeight="1" outlineLevel="1" x14ac:dyDescent="0.55000000000000004">
      <c r="A53" s="261"/>
      <c r="B53" s="545" t="s">
        <v>24</v>
      </c>
      <c r="C53" s="366">
        <v>8564452</v>
      </c>
      <c r="D53" s="366">
        <v>363572</v>
      </c>
      <c r="E53" s="366">
        <v>17398</v>
      </c>
      <c r="F53" s="366">
        <v>0</v>
      </c>
      <c r="G53" s="366">
        <v>220</v>
      </c>
      <c r="H53" s="366">
        <v>1005229</v>
      </c>
      <c r="I53" s="366">
        <v>83735</v>
      </c>
      <c r="J53" s="366">
        <v>0</v>
      </c>
      <c r="K53" s="366">
        <v>0</v>
      </c>
      <c r="L53" s="366">
        <v>280452</v>
      </c>
      <c r="M53" s="366">
        <v>453292</v>
      </c>
      <c r="N53" s="378">
        <f t="shared" si="16"/>
        <v>2203898</v>
      </c>
      <c r="O53" s="378">
        <f t="shared" si="18"/>
        <v>10768350</v>
      </c>
    </row>
    <row r="54" spans="1:26" s="255" customFormat="1" ht="20.149999999999999" hidden="1" customHeight="1" outlineLevel="1" x14ac:dyDescent="0.55000000000000004">
      <c r="A54" s="261"/>
      <c r="B54" s="545" t="s">
        <v>25</v>
      </c>
      <c r="C54" s="366">
        <v>12257808</v>
      </c>
      <c r="D54" s="366">
        <v>121825</v>
      </c>
      <c r="E54" s="366">
        <v>52999</v>
      </c>
      <c r="F54" s="366">
        <v>0</v>
      </c>
      <c r="G54" s="366">
        <v>6965</v>
      </c>
      <c r="H54" s="366">
        <v>990105</v>
      </c>
      <c r="I54" s="366">
        <v>30502</v>
      </c>
      <c r="J54" s="366">
        <v>466345</v>
      </c>
      <c r="K54" s="366">
        <v>0</v>
      </c>
      <c r="L54" s="366">
        <v>298782</v>
      </c>
      <c r="M54" s="366">
        <v>1103050</v>
      </c>
      <c r="N54" s="378">
        <f t="shared" si="16"/>
        <v>3070573</v>
      </c>
      <c r="O54" s="378">
        <f t="shared" si="18"/>
        <v>15328381</v>
      </c>
    </row>
    <row r="55" spans="1:26" s="255" customFormat="1" ht="20.149999999999999" hidden="1" customHeight="1" outlineLevel="1" x14ac:dyDescent="0.55000000000000004">
      <c r="A55" s="261"/>
      <c r="B55" s="545" t="s">
        <v>26</v>
      </c>
      <c r="C55" s="366">
        <v>24086246</v>
      </c>
      <c r="D55" s="366">
        <v>24493016</v>
      </c>
      <c r="E55" s="366">
        <v>3294437</v>
      </c>
      <c r="F55" s="366">
        <v>3</v>
      </c>
      <c r="G55" s="366">
        <v>13671</v>
      </c>
      <c r="H55" s="366">
        <v>13792997</v>
      </c>
      <c r="I55" s="366">
        <v>1476484</v>
      </c>
      <c r="J55" s="366">
        <v>2727029</v>
      </c>
      <c r="K55" s="366">
        <v>0</v>
      </c>
      <c r="L55" s="366">
        <v>248407</v>
      </c>
      <c r="M55" s="366">
        <v>7088581</v>
      </c>
      <c r="N55" s="378">
        <f t="shared" si="16"/>
        <v>53134625</v>
      </c>
      <c r="O55" s="378">
        <f t="shared" si="18"/>
        <v>77220871</v>
      </c>
    </row>
    <row r="56" spans="1:26" s="255" customFormat="1" ht="20.149999999999999" customHeight="1" collapsed="1" x14ac:dyDescent="0.55000000000000004">
      <c r="A56" s="21"/>
      <c r="B56" s="354" t="s">
        <v>1</v>
      </c>
      <c r="C56" s="367">
        <v>99890438</v>
      </c>
      <c r="D56" s="367">
        <v>42996955</v>
      </c>
      <c r="E56" s="367">
        <v>5022552</v>
      </c>
      <c r="F56" s="367">
        <v>265</v>
      </c>
      <c r="G56" s="367">
        <v>102307</v>
      </c>
      <c r="H56" s="367">
        <v>77081945</v>
      </c>
      <c r="I56" s="367">
        <v>3058989</v>
      </c>
      <c r="J56" s="367">
        <v>12070279</v>
      </c>
      <c r="K56" s="367">
        <v>234536</v>
      </c>
      <c r="L56" s="367">
        <v>2225302</v>
      </c>
      <c r="M56" s="367">
        <v>14086881</v>
      </c>
      <c r="N56" s="385">
        <f t="shared" ref="N56:N79" si="19">SUM(D56:M56)</f>
        <v>156880011</v>
      </c>
      <c r="O56" s="379">
        <f t="shared" si="15"/>
        <v>256770449</v>
      </c>
      <c r="P56" s="40"/>
      <c r="Q56" s="40"/>
      <c r="R56" s="40"/>
      <c r="S56" s="40"/>
      <c r="T56" s="40"/>
      <c r="U56" s="40"/>
      <c r="V56" s="40"/>
      <c r="W56" s="40"/>
      <c r="X56" s="40"/>
      <c r="Y56" s="40"/>
      <c r="Z56" s="40"/>
    </row>
    <row r="57" spans="1:26" ht="20.149999999999999" customHeight="1" x14ac:dyDescent="0.3">
      <c r="A57" s="2"/>
      <c r="B57" s="548" t="s">
        <v>1101</v>
      </c>
      <c r="C57" s="543"/>
      <c r="D57" s="543"/>
      <c r="E57" s="543"/>
      <c r="F57" s="543"/>
      <c r="G57" s="543"/>
      <c r="H57" s="543"/>
      <c r="I57" s="543"/>
      <c r="J57" s="543"/>
      <c r="K57" s="543"/>
      <c r="L57" s="543"/>
      <c r="M57" s="543"/>
      <c r="N57" s="543"/>
      <c r="O57" s="543"/>
    </row>
    <row r="58" spans="1:26" s="255" customFormat="1" ht="20.149999999999999" hidden="1" customHeight="1" outlineLevel="1" x14ac:dyDescent="0.55000000000000004">
      <c r="A58" s="34"/>
      <c r="B58" s="544" t="s">
        <v>18</v>
      </c>
      <c r="C58" s="367">
        <v>11519174</v>
      </c>
      <c r="D58" s="356">
        <v>3528</v>
      </c>
      <c r="E58" s="356">
        <v>626</v>
      </c>
      <c r="F58" s="356">
        <v>0</v>
      </c>
      <c r="G58" s="356">
        <v>0</v>
      </c>
      <c r="H58" s="356">
        <v>332929</v>
      </c>
      <c r="I58" s="356">
        <v>0</v>
      </c>
      <c r="J58" s="356">
        <v>598466</v>
      </c>
      <c r="K58" s="356">
        <v>0</v>
      </c>
      <c r="L58" s="370">
        <v>276499</v>
      </c>
      <c r="M58" s="356">
        <v>193697</v>
      </c>
      <c r="N58" s="379">
        <f t="shared" ref="N58:N66" si="20">SUM(D58:M58)</f>
        <v>1405745</v>
      </c>
      <c r="O58" s="379">
        <f t="shared" ref="O58" si="21">C58+N58</f>
        <v>12924919</v>
      </c>
    </row>
    <row r="59" spans="1:26" s="255" customFormat="1" ht="20.149999999999999" hidden="1" customHeight="1" outlineLevel="1" x14ac:dyDescent="0.55000000000000004">
      <c r="A59" s="34"/>
      <c r="B59" s="545" t="s">
        <v>19</v>
      </c>
      <c r="C59" s="356">
        <v>6431284</v>
      </c>
      <c r="D59" s="356">
        <v>0</v>
      </c>
      <c r="E59" s="356">
        <v>0</v>
      </c>
      <c r="F59" s="356">
        <v>0</v>
      </c>
      <c r="G59" s="356">
        <v>32995</v>
      </c>
      <c r="H59" s="356">
        <v>2120097</v>
      </c>
      <c r="I59" s="356">
        <v>0</v>
      </c>
      <c r="J59" s="356">
        <v>189380</v>
      </c>
      <c r="K59" s="356">
        <v>234536</v>
      </c>
      <c r="L59" s="356">
        <v>204683</v>
      </c>
      <c r="M59" s="356">
        <v>498952</v>
      </c>
      <c r="N59" s="379">
        <f t="shared" si="20"/>
        <v>3280643</v>
      </c>
      <c r="O59" s="379">
        <f t="shared" ref="O59:O66" si="22">N59+C59</f>
        <v>9711927</v>
      </c>
    </row>
    <row r="60" spans="1:26" s="255" customFormat="1" ht="20.149999999999999" hidden="1" customHeight="1" outlineLevel="1" x14ac:dyDescent="0.55000000000000004">
      <c r="A60" s="261"/>
      <c r="B60" s="545" t="s">
        <v>20</v>
      </c>
      <c r="C60" s="101">
        <v>6316952</v>
      </c>
      <c r="D60" s="356">
        <v>0</v>
      </c>
      <c r="E60" s="356">
        <v>0</v>
      </c>
      <c r="F60" s="356">
        <v>0</v>
      </c>
      <c r="G60" s="356">
        <v>0</v>
      </c>
      <c r="H60" s="101">
        <v>73943</v>
      </c>
      <c r="I60" s="356">
        <v>7322</v>
      </c>
      <c r="J60" s="356">
        <v>0</v>
      </c>
      <c r="K60" s="356">
        <v>0</v>
      </c>
      <c r="L60" s="356">
        <v>168066</v>
      </c>
      <c r="M60" s="356">
        <v>82367</v>
      </c>
      <c r="N60" s="379">
        <f t="shared" si="20"/>
        <v>331698</v>
      </c>
      <c r="O60" s="379">
        <f t="shared" si="22"/>
        <v>6648650</v>
      </c>
    </row>
    <row r="61" spans="1:26" s="255" customFormat="1" ht="20.149999999999999" hidden="1" customHeight="1" outlineLevel="1" x14ac:dyDescent="0.55000000000000004">
      <c r="A61" s="261"/>
      <c r="B61" s="545" t="s">
        <v>21</v>
      </c>
      <c r="C61" s="356">
        <v>5068132</v>
      </c>
      <c r="D61" s="356">
        <v>0</v>
      </c>
      <c r="E61" s="356">
        <v>552</v>
      </c>
      <c r="F61" s="356">
        <v>7</v>
      </c>
      <c r="G61" s="356">
        <v>0</v>
      </c>
      <c r="H61" s="356">
        <v>482951</v>
      </c>
      <c r="I61" s="356">
        <v>7326</v>
      </c>
      <c r="J61" s="356">
        <v>0</v>
      </c>
      <c r="K61" s="356">
        <v>0</v>
      </c>
      <c r="L61" s="356">
        <v>92478</v>
      </c>
      <c r="M61" s="356">
        <v>93003</v>
      </c>
      <c r="N61" s="379">
        <f t="shared" si="20"/>
        <v>676317</v>
      </c>
      <c r="O61" s="379">
        <f t="shared" si="22"/>
        <v>5744449</v>
      </c>
    </row>
    <row r="62" spans="1:26" s="255" customFormat="1" ht="20.149999999999999" hidden="1" customHeight="1" outlineLevel="1" x14ac:dyDescent="0.55000000000000004">
      <c r="A62" s="261"/>
      <c r="B62" s="545" t="s">
        <v>22</v>
      </c>
      <c r="C62" s="356">
        <v>20694071</v>
      </c>
      <c r="D62" s="356">
        <v>17985645</v>
      </c>
      <c r="E62" s="356">
        <v>1624093</v>
      </c>
      <c r="F62" s="356">
        <v>256</v>
      </c>
      <c r="G62" s="356">
        <v>45734</v>
      </c>
      <c r="H62" s="356">
        <v>57938413</v>
      </c>
      <c r="I62" s="356">
        <v>1371614</v>
      </c>
      <c r="J62" s="356">
        <v>8089059</v>
      </c>
      <c r="K62" s="356">
        <v>0</v>
      </c>
      <c r="L62" s="356">
        <v>550244</v>
      </c>
      <c r="M62" s="356">
        <v>4367987</v>
      </c>
      <c r="N62" s="379">
        <f t="shared" si="20"/>
        <v>91973045</v>
      </c>
      <c r="O62" s="379">
        <f t="shared" si="22"/>
        <v>112667116</v>
      </c>
    </row>
    <row r="63" spans="1:26" s="255" customFormat="1" ht="20.149999999999999" hidden="1" customHeight="1" outlineLevel="1" x14ac:dyDescent="0.55000000000000004">
      <c r="A63" s="261"/>
      <c r="B63" s="545" t="s">
        <v>23</v>
      </c>
      <c r="C63" s="356">
        <v>5070943</v>
      </c>
      <c r="D63" s="356">
        <v>0</v>
      </c>
      <c r="E63" s="356">
        <v>3693</v>
      </c>
      <c r="F63" s="356">
        <v>0</v>
      </c>
      <c r="G63" s="356">
        <v>0</v>
      </c>
      <c r="H63" s="356">
        <v>236698</v>
      </c>
      <c r="I63" s="356">
        <v>0</v>
      </c>
      <c r="J63" s="356">
        <v>0</v>
      </c>
      <c r="K63" s="356">
        <v>0</v>
      </c>
      <c r="L63" s="356">
        <v>114861</v>
      </c>
      <c r="M63" s="356">
        <v>235888</v>
      </c>
      <c r="N63" s="379">
        <f t="shared" si="20"/>
        <v>591140</v>
      </c>
      <c r="O63" s="379">
        <f t="shared" si="22"/>
        <v>5662083</v>
      </c>
    </row>
    <row r="64" spans="1:26" s="255" customFormat="1" ht="20.149999999999999" hidden="1" customHeight="1" outlineLevel="1" x14ac:dyDescent="0.55000000000000004">
      <c r="A64" s="261"/>
      <c r="B64" s="545" t="s">
        <v>24</v>
      </c>
      <c r="C64" s="356">
        <v>8543122</v>
      </c>
      <c r="D64" s="356">
        <v>369284</v>
      </c>
      <c r="E64" s="356">
        <v>21624</v>
      </c>
      <c r="F64" s="356">
        <v>0</v>
      </c>
      <c r="G64" s="356">
        <v>2266</v>
      </c>
      <c r="H64" s="356">
        <v>1066293</v>
      </c>
      <c r="I64" s="356">
        <v>150484</v>
      </c>
      <c r="J64" s="356">
        <v>0</v>
      </c>
      <c r="K64" s="356">
        <v>0</v>
      </c>
      <c r="L64" s="356">
        <v>277237</v>
      </c>
      <c r="M64" s="356">
        <v>459123</v>
      </c>
      <c r="N64" s="379">
        <f t="shared" si="20"/>
        <v>2346311</v>
      </c>
      <c r="O64" s="379">
        <f t="shared" si="22"/>
        <v>10889433</v>
      </c>
    </row>
    <row r="65" spans="1:26" s="255" customFormat="1" ht="20.149999999999999" hidden="1" customHeight="1" outlineLevel="1" x14ac:dyDescent="0.55000000000000004">
      <c r="A65" s="261"/>
      <c r="B65" s="545" t="s">
        <v>25</v>
      </c>
      <c r="C65" s="356">
        <v>12220608</v>
      </c>
      <c r="D65" s="356">
        <v>124015</v>
      </c>
      <c r="E65" s="356">
        <v>55008</v>
      </c>
      <c r="F65" s="356">
        <v>0</v>
      </c>
      <c r="G65" s="356">
        <v>6965</v>
      </c>
      <c r="H65" s="356">
        <v>978958</v>
      </c>
      <c r="I65" s="356">
        <v>44517</v>
      </c>
      <c r="J65" s="356">
        <v>466345</v>
      </c>
      <c r="K65" s="356">
        <v>0</v>
      </c>
      <c r="L65" s="356">
        <v>292860</v>
      </c>
      <c r="M65" s="356">
        <v>1159710</v>
      </c>
      <c r="N65" s="379">
        <f t="shared" si="20"/>
        <v>3128378</v>
      </c>
      <c r="O65" s="379">
        <f t="shared" si="22"/>
        <v>15348986</v>
      </c>
    </row>
    <row r="66" spans="1:26" s="255" customFormat="1" ht="20.149999999999999" hidden="1" customHeight="1" outlineLevel="1" x14ac:dyDescent="0.55000000000000004">
      <c r="A66" s="261"/>
      <c r="B66" s="545" t="s">
        <v>26</v>
      </c>
      <c r="C66" s="356">
        <v>24026153</v>
      </c>
      <c r="D66" s="356">
        <v>24514483</v>
      </c>
      <c r="E66" s="356">
        <v>3316957</v>
      </c>
      <c r="F66" s="356">
        <v>3</v>
      </c>
      <c r="G66" s="356">
        <v>14347</v>
      </c>
      <c r="H66" s="356">
        <v>13851661</v>
      </c>
      <c r="I66" s="356">
        <v>1477727</v>
      </c>
      <c r="J66" s="356">
        <v>2727029</v>
      </c>
      <c r="K66" s="356">
        <v>0</v>
      </c>
      <c r="L66" s="356">
        <v>248374</v>
      </c>
      <c r="M66" s="356">
        <v>6996154</v>
      </c>
      <c r="N66" s="379">
        <f t="shared" si="20"/>
        <v>53146735</v>
      </c>
      <c r="O66" s="379">
        <f t="shared" si="22"/>
        <v>77172888</v>
      </c>
    </row>
    <row r="67" spans="1:26" s="255" customFormat="1" ht="20.149999999999999" customHeight="1" collapsed="1" x14ac:dyDescent="0.55000000000000004">
      <c r="A67" s="21"/>
      <c r="B67" s="354" t="s">
        <v>127</v>
      </c>
      <c r="C67" s="367">
        <v>99694333</v>
      </c>
      <c r="D67" s="367">
        <v>43035327</v>
      </c>
      <c r="E67" s="367">
        <v>5030527</v>
      </c>
      <c r="F67" s="367">
        <v>265</v>
      </c>
      <c r="G67" s="367">
        <v>102307</v>
      </c>
      <c r="H67" s="367">
        <v>77166073</v>
      </c>
      <c r="I67" s="367">
        <v>3058683</v>
      </c>
      <c r="J67" s="367">
        <v>12070922</v>
      </c>
      <c r="K67" s="367">
        <v>234536</v>
      </c>
      <c r="L67" s="367">
        <v>2221442</v>
      </c>
      <c r="M67" s="367">
        <v>14028760</v>
      </c>
      <c r="N67" s="385">
        <f t="shared" si="19"/>
        <v>156948842</v>
      </c>
      <c r="O67" s="379">
        <f t="shared" si="15"/>
        <v>256643175</v>
      </c>
      <c r="P67" s="40"/>
      <c r="Q67" s="40"/>
      <c r="R67" s="40"/>
      <c r="S67" s="40"/>
      <c r="T67" s="40"/>
      <c r="U67" s="40"/>
      <c r="V67" s="40"/>
      <c r="W67" s="40"/>
      <c r="X67" s="40"/>
      <c r="Y67" s="40"/>
      <c r="Z67" s="40"/>
    </row>
    <row r="68" spans="1:26" ht="20.149999999999999" customHeight="1" x14ac:dyDescent="0.3">
      <c r="A68" s="2"/>
      <c r="B68" s="548" t="s">
        <v>1101</v>
      </c>
      <c r="C68" s="543"/>
      <c r="D68" s="543"/>
      <c r="E68" s="543"/>
      <c r="F68" s="543"/>
      <c r="G68" s="543"/>
      <c r="H68" s="543"/>
      <c r="I68" s="543"/>
      <c r="J68" s="543"/>
      <c r="K68" s="543"/>
      <c r="L68" s="543"/>
      <c r="M68" s="543"/>
      <c r="N68" s="543"/>
      <c r="O68" s="543"/>
    </row>
    <row r="69" spans="1:26" s="255" customFormat="1" ht="20.149999999999999" hidden="1" customHeight="1" outlineLevel="1" x14ac:dyDescent="0.55000000000000004">
      <c r="A69" s="34"/>
      <c r="B69" s="544" t="s">
        <v>18</v>
      </c>
      <c r="C69" s="361">
        <v>11525037</v>
      </c>
      <c r="D69" s="361">
        <v>3528</v>
      </c>
      <c r="E69" s="361">
        <v>626</v>
      </c>
      <c r="F69" s="361">
        <v>0</v>
      </c>
      <c r="G69" s="361">
        <v>0</v>
      </c>
      <c r="H69" s="361">
        <v>332929</v>
      </c>
      <c r="I69" s="361">
        <v>0</v>
      </c>
      <c r="J69" s="361">
        <v>598466</v>
      </c>
      <c r="K69" s="361">
        <v>0</v>
      </c>
      <c r="L69" s="372">
        <v>276759</v>
      </c>
      <c r="M69" s="361">
        <v>190566</v>
      </c>
      <c r="N69" s="382">
        <f t="shared" ref="N69:N77" si="23">SUM(D69:M69)</f>
        <v>1402874</v>
      </c>
      <c r="O69" s="382">
        <f t="shared" ref="O69" si="24">C69+N69</f>
        <v>12927911</v>
      </c>
    </row>
    <row r="70" spans="1:26" s="255" customFormat="1" ht="20.149999999999999" hidden="1" customHeight="1" outlineLevel="1" x14ac:dyDescent="0.55000000000000004">
      <c r="A70" s="34"/>
      <c r="B70" s="545" t="s">
        <v>19</v>
      </c>
      <c r="C70" s="361">
        <v>6433800</v>
      </c>
      <c r="D70" s="361">
        <v>0</v>
      </c>
      <c r="E70" s="361">
        <v>0</v>
      </c>
      <c r="F70" s="361">
        <v>0</v>
      </c>
      <c r="G70" s="361">
        <v>32995</v>
      </c>
      <c r="H70" s="361">
        <v>2133652</v>
      </c>
      <c r="I70" s="361">
        <v>0</v>
      </c>
      <c r="J70" s="361">
        <v>189380</v>
      </c>
      <c r="K70" s="361">
        <v>234536</v>
      </c>
      <c r="L70" s="361">
        <v>204633</v>
      </c>
      <c r="M70" s="361">
        <v>497949</v>
      </c>
      <c r="N70" s="382">
        <f t="shared" si="23"/>
        <v>3293145</v>
      </c>
      <c r="O70" s="382">
        <f t="shared" ref="O70:O77" si="25">N70+C70</f>
        <v>9726945</v>
      </c>
    </row>
    <row r="71" spans="1:26" s="255" customFormat="1" ht="20.149999999999999" hidden="1" customHeight="1" outlineLevel="1" x14ac:dyDescent="0.55000000000000004">
      <c r="A71" s="261"/>
      <c r="B71" s="545" t="s">
        <v>20</v>
      </c>
      <c r="C71" s="102">
        <v>6289992</v>
      </c>
      <c r="D71" s="361">
        <v>0</v>
      </c>
      <c r="E71" s="361">
        <v>0</v>
      </c>
      <c r="F71" s="361">
        <v>0</v>
      </c>
      <c r="G71" s="373">
        <v>0</v>
      </c>
      <c r="H71" s="102">
        <v>73943</v>
      </c>
      <c r="I71" s="361">
        <v>7371</v>
      </c>
      <c r="J71" s="361">
        <v>0</v>
      </c>
      <c r="K71" s="361">
        <v>0</v>
      </c>
      <c r="L71" s="361">
        <v>168065</v>
      </c>
      <c r="M71" s="361">
        <v>65429</v>
      </c>
      <c r="N71" s="382">
        <f t="shared" si="23"/>
        <v>314808</v>
      </c>
      <c r="O71" s="382">
        <f t="shared" si="25"/>
        <v>6604800</v>
      </c>
    </row>
    <row r="72" spans="1:26" s="255" customFormat="1" ht="20.149999999999999" hidden="1" customHeight="1" outlineLevel="1" x14ac:dyDescent="0.55000000000000004">
      <c r="A72" s="261"/>
      <c r="B72" s="545" t="s">
        <v>21</v>
      </c>
      <c r="C72" s="361">
        <v>5078769</v>
      </c>
      <c r="D72" s="372">
        <v>0</v>
      </c>
      <c r="E72" s="361">
        <v>552</v>
      </c>
      <c r="F72" s="361">
        <v>7</v>
      </c>
      <c r="G72" s="361">
        <v>0</v>
      </c>
      <c r="H72" s="361">
        <v>488431</v>
      </c>
      <c r="I72" s="361">
        <v>7326</v>
      </c>
      <c r="J72" s="361">
        <v>0</v>
      </c>
      <c r="K72" s="361">
        <v>0</v>
      </c>
      <c r="L72" s="361">
        <v>92071</v>
      </c>
      <c r="M72" s="361">
        <v>92692</v>
      </c>
      <c r="N72" s="382">
        <f t="shared" si="23"/>
        <v>681079</v>
      </c>
      <c r="O72" s="382">
        <f t="shared" si="25"/>
        <v>5759848</v>
      </c>
    </row>
    <row r="73" spans="1:26" s="255" customFormat="1" ht="20.149999999999999" hidden="1" customHeight="1" outlineLevel="1" x14ac:dyDescent="0.55000000000000004">
      <c r="A73" s="261"/>
      <c r="B73" s="545" t="s">
        <v>22</v>
      </c>
      <c r="C73" s="361">
        <v>20680735</v>
      </c>
      <c r="D73" s="361">
        <v>18012136</v>
      </c>
      <c r="E73" s="361">
        <v>1629406</v>
      </c>
      <c r="F73" s="361">
        <v>256</v>
      </c>
      <c r="G73" s="361">
        <v>45734</v>
      </c>
      <c r="H73" s="361">
        <v>58019040</v>
      </c>
      <c r="I73" s="361">
        <v>1372866</v>
      </c>
      <c r="J73" s="361">
        <v>8089702</v>
      </c>
      <c r="K73" s="361">
        <v>0</v>
      </c>
      <c r="L73" s="361">
        <v>550262</v>
      </c>
      <c r="M73" s="361">
        <v>4319683</v>
      </c>
      <c r="N73" s="382">
        <f t="shared" si="23"/>
        <v>92039085</v>
      </c>
      <c r="O73" s="382">
        <f t="shared" si="25"/>
        <v>112719820</v>
      </c>
    </row>
    <row r="74" spans="1:26" s="255" customFormat="1" ht="20.149999999999999" hidden="1" customHeight="1" outlineLevel="1" x14ac:dyDescent="0.55000000000000004">
      <c r="A74" s="261"/>
      <c r="B74" s="545" t="s">
        <v>23</v>
      </c>
      <c r="C74" s="361">
        <v>5070136</v>
      </c>
      <c r="D74" s="361">
        <v>0</v>
      </c>
      <c r="E74" s="361">
        <v>3693</v>
      </c>
      <c r="F74" s="361">
        <v>0</v>
      </c>
      <c r="G74" s="361">
        <v>0</v>
      </c>
      <c r="H74" s="361">
        <v>236829</v>
      </c>
      <c r="I74" s="361">
        <v>0</v>
      </c>
      <c r="J74" s="361">
        <v>0</v>
      </c>
      <c r="K74" s="361">
        <v>0</v>
      </c>
      <c r="L74" s="361">
        <v>112554</v>
      </c>
      <c r="M74" s="361">
        <v>235951</v>
      </c>
      <c r="N74" s="382">
        <f t="shared" si="23"/>
        <v>589027</v>
      </c>
      <c r="O74" s="382">
        <f t="shared" si="25"/>
        <v>5659163</v>
      </c>
    </row>
    <row r="75" spans="1:26" s="255" customFormat="1" ht="20.149999999999999" hidden="1" customHeight="1" outlineLevel="1" x14ac:dyDescent="0.55000000000000004">
      <c r="A75" s="261"/>
      <c r="B75" s="545" t="s">
        <v>24</v>
      </c>
      <c r="C75" s="361">
        <v>8542631</v>
      </c>
      <c r="D75" s="361">
        <v>370086</v>
      </c>
      <c r="E75" s="361">
        <v>21086</v>
      </c>
      <c r="F75" s="361">
        <v>0</v>
      </c>
      <c r="G75" s="361">
        <v>2266</v>
      </c>
      <c r="H75" s="361">
        <v>1065050</v>
      </c>
      <c r="I75" s="361">
        <v>148920</v>
      </c>
      <c r="J75" s="361">
        <v>0</v>
      </c>
      <c r="K75" s="361">
        <v>0</v>
      </c>
      <c r="L75" s="361">
        <v>276833</v>
      </c>
      <c r="M75" s="361">
        <v>463107</v>
      </c>
      <c r="N75" s="382">
        <f t="shared" si="23"/>
        <v>2347348</v>
      </c>
      <c r="O75" s="382">
        <f t="shared" si="25"/>
        <v>10889979</v>
      </c>
    </row>
    <row r="76" spans="1:26" s="255" customFormat="1" ht="20.149999999999999" hidden="1" customHeight="1" outlineLevel="1" x14ac:dyDescent="0.55000000000000004">
      <c r="A76" s="261"/>
      <c r="B76" s="545" t="s">
        <v>25</v>
      </c>
      <c r="C76" s="361">
        <v>12207764</v>
      </c>
      <c r="D76" s="361">
        <v>124015</v>
      </c>
      <c r="E76" s="361">
        <v>55533</v>
      </c>
      <c r="F76" s="361">
        <v>0</v>
      </c>
      <c r="G76" s="361">
        <v>6965</v>
      </c>
      <c r="H76" s="361">
        <v>974583</v>
      </c>
      <c r="I76" s="361">
        <v>43847</v>
      </c>
      <c r="J76" s="361">
        <v>466345</v>
      </c>
      <c r="K76" s="361">
        <v>0</v>
      </c>
      <c r="L76" s="361">
        <v>292860</v>
      </c>
      <c r="M76" s="361">
        <v>1179639</v>
      </c>
      <c r="N76" s="382">
        <f t="shared" si="23"/>
        <v>3143787</v>
      </c>
      <c r="O76" s="382">
        <f t="shared" si="25"/>
        <v>15351551</v>
      </c>
    </row>
    <row r="77" spans="1:26" s="255" customFormat="1" ht="20.149999999999999" hidden="1" customHeight="1" outlineLevel="1" x14ac:dyDescent="0.55000000000000004">
      <c r="A77" s="261"/>
      <c r="B77" s="545" t="s">
        <v>26</v>
      </c>
      <c r="C77" s="361">
        <v>23865452</v>
      </c>
      <c r="D77" s="361">
        <v>24525562</v>
      </c>
      <c r="E77" s="361">
        <v>3319631</v>
      </c>
      <c r="F77" s="361">
        <v>3</v>
      </c>
      <c r="G77" s="361">
        <v>14347</v>
      </c>
      <c r="H77" s="361">
        <v>13841613</v>
      </c>
      <c r="I77" s="361">
        <v>1478354</v>
      </c>
      <c r="J77" s="361">
        <v>2727029</v>
      </c>
      <c r="K77" s="361">
        <v>0</v>
      </c>
      <c r="L77" s="361">
        <v>247404</v>
      </c>
      <c r="M77" s="361">
        <v>6983743</v>
      </c>
      <c r="N77" s="382">
        <f t="shared" si="23"/>
        <v>53137686</v>
      </c>
      <c r="O77" s="382">
        <f t="shared" si="25"/>
        <v>77003138</v>
      </c>
    </row>
    <row r="78" spans="1:26" s="255" customFormat="1" ht="20.149999999999999" customHeight="1" collapsed="1" x14ac:dyDescent="0.55000000000000004">
      <c r="A78" s="21"/>
      <c r="B78" s="354" t="s">
        <v>40</v>
      </c>
      <c r="C78" s="356">
        <v>99718599</v>
      </c>
      <c r="D78" s="356">
        <v>43111952</v>
      </c>
      <c r="E78" s="356">
        <v>5025352</v>
      </c>
      <c r="F78" s="356">
        <v>265</v>
      </c>
      <c r="G78" s="356">
        <v>102307</v>
      </c>
      <c r="H78" s="356">
        <v>77166016</v>
      </c>
      <c r="I78" s="356">
        <v>3015530</v>
      </c>
      <c r="J78" s="356">
        <v>12186813</v>
      </c>
      <c r="K78" s="356">
        <v>234536</v>
      </c>
      <c r="L78" s="356">
        <v>2223717</v>
      </c>
      <c r="M78" s="356">
        <v>13897810</v>
      </c>
      <c r="N78" s="385">
        <f t="shared" si="19"/>
        <v>156964298</v>
      </c>
      <c r="O78" s="379">
        <f t="shared" si="15"/>
        <v>256682897</v>
      </c>
      <c r="P78" s="40"/>
      <c r="Q78" s="40"/>
      <c r="R78" s="40"/>
      <c r="S78" s="40"/>
      <c r="T78" s="40"/>
      <c r="U78" s="40"/>
      <c r="V78" s="40"/>
      <c r="W78" s="40"/>
      <c r="X78" s="40"/>
      <c r="Y78" s="40"/>
      <c r="Z78" s="40"/>
    </row>
    <row r="79" spans="1:26" s="255" customFormat="1" ht="20.149999999999999" customHeight="1" x14ac:dyDescent="0.55000000000000004">
      <c r="A79" s="21"/>
      <c r="B79" s="368" t="s">
        <v>3</v>
      </c>
      <c r="C79" s="369">
        <v>99774415</v>
      </c>
      <c r="D79" s="369">
        <v>43411569</v>
      </c>
      <c r="E79" s="369">
        <v>5083216</v>
      </c>
      <c r="F79" s="369">
        <v>265</v>
      </c>
      <c r="G79" s="369">
        <v>102478</v>
      </c>
      <c r="H79" s="369">
        <v>76934062</v>
      </c>
      <c r="I79" s="369">
        <v>3142494</v>
      </c>
      <c r="J79" s="369">
        <v>12192180</v>
      </c>
      <c r="K79" s="369">
        <v>274128</v>
      </c>
      <c r="L79" s="369">
        <v>2234696</v>
      </c>
      <c r="M79" s="369">
        <v>13710037</v>
      </c>
      <c r="N79" s="386">
        <f t="shared" si="19"/>
        <v>157085125</v>
      </c>
      <c r="O79" s="380">
        <f t="shared" si="15"/>
        <v>256859540</v>
      </c>
    </row>
  </sheetData>
  <sortState ref="B40:O42">
    <sortCondition descending="1" ref="B40"/>
  </sortState>
  <customSheetViews>
    <customSheetView guid="{501209ED-4B79-4E52-B95E-748E5E77E24F}" scale="85" hiddenRows="1">
      <pane xSplit="2" ySplit="10" topLeftCell="C11" activePane="bottomRight" state="frozen"/>
      <selection pane="bottomRight" activeCell="C14" sqref="C14:M22"/>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1">
    <mergeCell ref="J10:M10"/>
  </mergeCells>
  <phoneticPr fontId="1"/>
  <conditionalFormatting sqref="C34:M34 C23:M23 C45:M45 C56:M56 C67:M67 C78:M79">
    <cfRule type="containsBlanks" dxfId="391" priority="46">
      <formula>LEN(TRIM(C23))=0</formula>
    </cfRule>
  </conditionalFormatting>
  <conditionalFormatting sqref="C36:M36">
    <cfRule type="containsBlanks" dxfId="390" priority="42">
      <formula>LEN(TRIM(C36))=0</formula>
    </cfRule>
  </conditionalFormatting>
  <conditionalFormatting sqref="C47:M47">
    <cfRule type="containsBlanks" dxfId="389" priority="32">
      <formula>LEN(TRIM(C47))=0</formula>
    </cfRule>
  </conditionalFormatting>
  <conditionalFormatting sqref="C37:M37">
    <cfRule type="containsBlanks" dxfId="388" priority="41">
      <formula>LEN(TRIM(C37))=0</formula>
    </cfRule>
  </conditionalFormatting>
  <conditionalFormatting sqref="C38:M38">
    <cfRule type="containsBlanks" dxfId="387" priority="40">
      <formula>LEN(TRIM(C38))=0</formula>
    </cfRule>
  </conditionalFormatting>
  <conditionalFormatting sqref="C39:M39">
    <cfRule type="containsBlanks" dxfId="386" priority="39">
      <formula>LEN(TRIM(C39))=0</formula>
    </cfRule>
  </conditionalFormatting>
  <conditionalFormatting sqref="C40:M40">
    <cfRule type="containsBlanks" dxfId="385" priority="38">
      <formula>LEN(TRIM(C40))=0</formula>
    </cfRule>
  </conditionalFormatting>
  <conditionalFormatting sqref="C41:M41">
    <cfRule type="containsBlanks" dxfId="384" priority="37">
      <formula>LEN(TRIM(C41))=0</formula>
    </cfRule>
  </conditionalFormatting>
  <conditionalFormatting sqref="C42:M42">
    <cfRule type="containsBlanks" dxfId="383" priority="36">
      <formula>LEN(TRIM(C42))=0</formula>
    </cfRule>
  </conditionalFormatting>
  <conditionalFormatting sqref="C43:M43">
    <cfRule type="containsBlanks" dxfId="382" priority="35">
      <formula>LEN(TRIM(C43))=0</formula>
    </cfRule>
  </conditionalFormatting>
  <conditionalFormatting sqref="C44:M44">
    <cfRule type="containsBlanks" dxfId="381" priority="34">
      <formula>LEN(TRIM(C44))=0</formula>
    </cfRule>
  </conditionalFormatting>
  <conditionalFormatting sqref="C58:M58">
    <cfRule type="containsBlanks" dxfId="380" priority="22">
      <formula>LEN(TRIM(C58))=0</formula>
    </cfRule>
  </conditionalFormatting>
  <conditionalFormatting sqref="C69:M69">
    <cfRule type="containsBlanks" dxfId="379" priority="12">
      <formula>LEN(TRIM(C69))=0</formula>
    </cfRule>
  </conditionalFormatting>
  <conditionalFormatting sqref="C48:M48">
    <cfRule type="containsBlanks" dxfId="378" priority="31">
      <formula>LEN(TRIM(C48))=0</formula>
    </cfRule>
  </conditionalFormatting>
  <conditionalFormatting sqref="C49:M49">
    <cfRule type="containsBlanks" dxfId="377" priority="30">
      <formula>LEN(TRIM(C49))=0</formula>
    </cfRule>
  </conditionalFormatting>
  <conditionalFormatting sqref="C50:M50">
    <cfRule type="containsBlanks" dxfId="376" priority="29">
      <formula>LEN(TRIM(C50))=0</formula>
    </cfRule>
  </conditionalFormatting>
  <conditionalFormatting sqref="C51:M51">
    <cfRule type="containsBlanks" dxfId="375" priority="28">
      <formula>LEN(TRIM(C51))=0</formula>
    </cfRule>
  </conditionalFormatting>
  <conditionalFormatting sqref="C52:M52">
    <cfRule type="containsBlanks" dxfId="374" priority="27">
      <formula>LEN(TRIM(C52))=0</formula>
    </cfRule>
  </conditionalFormatting>
  <conditionalFormatting sqref="C53:M53">
    <cfRule type="containsBlanks" dxfId="373" priority="26">
      <formula>LEN(TRIM(C53))=0</formula>
    </cfRule>
  </conditionalFormatting>
  <conditionalFormatting sqref="C54:M54">
    <cfRule type="containsBlanks" dxfId="372" priority="25">
      <formula>LEN(TRIM(C54))=0</formula>
    </cfRule>
  </conditionalFormatting>
  <conditionalFormatting sqref="C55:M55">
    <cfRule type="containsBlanks" dxfId="371" priority="24">
      <formula>LEN(TRIM(C55))=0</formula>
    </cfRule>
  </conditionalFormatting>
  <conditionalFormatting sqref="C59:M59">
    <cfRule type="containsBlanks" dxfId="370" priority="21">
      <formula>LEN(TRIM(C59))=0</formula>
    </cfRule>
  </conditionalFormatting>
  <conditionalFormatting sqref="C60:M60">
    <cfRule type="containsBlanks" dxfId="369" priority="20">
      <formula>LEN(TRIM(C60))=0</formula>
    </cfRule>
  </conditionalFormatting>
  <conditionalFormatting sqref="C61:M61">
    <cfRule type="containsBlanks" dxfId="368" priority="19">
      <formula>LEN(TRIM(C61))=0</formula>
    </cfRule>
  </conditionalFormatting>
  <conditionalFormatting sqref="C62:M62">
    <cfRule type="containsBlanks" dxfId="367" priority="18">
      <formula>LEN(TRIM(C62))=0</formula>
    </cfRule>
  </conditionalFormatting>
  <conditionalFormatting sqref="C63:M63">
    <cfRule type="containsBlanks" dxfId="366" priority="17">
      <formula>LEN(TRIM(C63))=0</formula>
    </cfRule>
  </conditionalFormatting>
  <conditionalFormatting sqref="C64:M64">
    <cfRule type="containsBlanks" dxfId="365" priority="16">
      <formula>LEN(TRIM(C64))=0</formula>
    </cfRule>
  </conditionalFormatting>
  <conditionalFormatting sqref="C65:M65">
    <cfRule type="containsBlanks" dxfId="364" priority="15">
      <formula>LEN(TRIM(C65))=0</formula>
    </cfRule>
  </conditionalFormatting>
  <conditionalFormatting sqref="C66:M66">
    <cfRule type="containsBlanks" dxfId="363" priority="14">
      <formula>LEN(TRIM(C66))=0</formula>
    </cfRule>
  </conditionalFormatting>
  <conditionalFormatting sqref="C70:M70">
    <cfRule type="containsBlanks" dxfId="362" priority="11">
      <formula>LEN(TRIM(C70))=0</formula>
    </cfRule>
  </conditionalFormatting>
  <conditionalFormatting sqref="C71:M71">
    <cfRule type="containsBlanks" dxfId="361" priority="10">
      <formula>LEN(TRIM(C71))=0</formula>
    </cfRule>
  </conditionalFormatting>
  <conditionalFormatting sqref="C72:M72">
    <cfRule type="containsBlanks" dxfId="360" priority="9">
      <formula>LEN(TRIM(C72))=0</formula>
    </cfRule>
  </conditionalFormatting>
  <conditionalFormatting sqref="C73:M73">
    <cfRule type="containsBlanks" dxfId="359" priority="8">
      <formula>LEN(TRIM(C73))=0</formula>
    </cfRule>
  </conditionalFormatting>
  <conditionalFormatting sqref="C74:M74">
    <cfRule type="containsBlanks" dxfId="358" priority="7">
      <formula>LEN(TRIM(C74))=0</formula>
    </cfRule>
  </conditionalFormatting>
  <conditionalFormatting sqref="C75:M75">
    <cfRule type="containsBlanks" dxfId="357" priority="6">
      <formula>LEN(TRIM(C75))=0</formula>
    </cfRule>
  </conditionalFormatting>
  <conditionalFormatting sqref="C76:M76">
    <cfRule type="containsBlanks" dxfId="356" priority="5">
      <formula>LEN(TRIM(C76))=0</formula>
    </cfRule>
  </conditionalFormatting>
  <conditionalFormatting sqref="C77:M77">
    <cfRule type="containsBlanks" dxfId="355" priority="4">
      <formula>LEN(TRIM(C77))=0</formula>
    </cfRule>
  </conditionalFormatting>
  <conditionalFormatting sqref="C25:M33">
    <cfRule type="containsBlanks" dxfId="354" priority="3">
      <formula>LEN(TRIM(C25))=0</formula>
    </cfRule>
  </conditionalFormatting>
  <conditionalFormatting sqref="C12:M12">
    <cfRule type="containsBlanks" dxfId="353" priority="2">
      <formula>LEN(TRIM(C12))=0</formula>
    </cfRule>
  </conditionalFormatting>
  <conditionalFormatting sqref="C14:M22">
    <cfRule type="containsBlanks" dxfId="352" priority="1">
      <formula>LEN(TRIM(C14))=0</formula>
    </cfRule>
  </conditionalFormatting>
  <hyperlinks>
    <hyperlink ref="A1" location="目次!A1" display="目次へ戻る"/>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zoomScale="85" zoomScaleNormal="85" workbookViewId="0">
      <pane xSplit="2" ySplit="10" topLeftCell="C11" activePane="bottomRight" state="frozen"/>
      <selection pane="topRight" activeCell="C1" sqref="C1"/>
      <selection pane="bottomLeft" activeCell="A11" sqref="A11"/>
      <selection pane="bottomRight"/>
    </sheetView>
  </sheetViews>
  <sheetFormatPr defaultColWidth="8.58203125" defaultRowHeight="14.5" outlineLevelRow="1" x14ac:dyDescent="0.35"/>
  <cols>
    <col min="1" max="1" width="6.58203125" style="4" bestFit="1" customWidth="1"/>
    <col min="2" max="2" width="10.33203125" style="1" bestFit="1" customWidth="1"/>
    <col min="3" max="3" width="11.33203125" style="1" customWidth="1"/>
    <col min="4" max="5" width="11.33203125" style="2" customWidth="1"/>
    <col min="6" max="6" width="11.33203125" style="4" customWidth="1"/>
    <col min="7" max="16" width="11.33203125" style="1" customWidth="1"/>
    <col min="17" max="31" width="10.83203125" style="1" bestFit="1" customWidth="1"/>
    <col min="32" max="33" width="10.33203125" style="1" bestFit="1" customWidth="1"/>
    <col min="34" max="16384" width="8.58203125" style="1"/>
  </cols>
  <sheetData>
    <row r="1" spans="1:33" x14ac:dyDescent="0.35">
      <c r="A1" s="433" t="s">
        <v>438</v>
      </c>
      <c r="B1" s="433"/>
    </row>
    <row r="3" spans="1:33" s="253" customFormat="1" ht="20.149999999999999" customHeight="1" x14ac:dyDescent="0.55000000000000004">
      <c r="A3" s="252" t="s">
        <v>120</v>
      </c>
    </row>
    <row r="4" spans="1:33" s="253" customFormat="1" ht="20.149999999999999" customHeight="1" x14ac:dyDescent="0.55000000000000004">
      <c r="A4" s="252" t="s">
        <v>150</v>
      </c>
    </row>
    <row r="5" spans="1:33" s="253" customFormat="1" ht="14.5" customHeight="1" x14ac:dyDescent="0.55000000000000004">
      <c r="A5" s="46"/>
    </row>
    <row r="6" spans="1:33" s="253" customFormat="1" ht="14.5" customHeight="1" x14ac:dyDescent="0.55000000000000004">
      <c r="A6" s="30" t="s">
        <v>157</v>
      </c>
    </row>
    <row r="7" spans="1:33" s="253" customFormat="1" ht="14.5" customHeight="1" x14ac:dyDescent="0.55000000000000004">
      <c r="A7" s="30" t="s">
        <v>1117</v>
      </c>
      <c r="B7" s="30"/>
    </row>
    <row r="8" spans="1:33" s="253" customFormat="1" ht="14.5" customHeight="1" x14ac:dyDescent="0.55000000000000004">
      <c r="A8" s="30"/>
      <c r="B8" s="30"/>
    </row>
    <row r="9" spans="1:33" s="253" customFormat="1" ht="14.5" customHeight="1" x14ac:dyDescent="0.55000000000000004">
      <c r="A9" s="30"/>
      <c r="B9" s="30"/>
    </row>
    <row r="10" spans="1:33" s="255" customFormat="1" ht="17.5" x14ac:dyDescent="0.55000000000000004">
      <c r="A10" s="243" t="s">
        <v>151</v>
      </c>
      <c r="B10" s="327"/>
      <c r="D10" s="40"/>
      <c r="E10" s="40"/>
      <c r="F10" s="40"/>
      <c r="G10" s="40"/>
      <c r="H10" s="40"/>
      <c r="I10" s="40"/>
      <c r="J10" s="677" t="s">
        <v>144</v>
      </c>
      <c r="K10" s="678"/>
      <c r="L10" s="678"/>
      <c r="M10" s="679"/>
      <c r="N10" s="40"/>
      <c r="O10" s="40"/>
      <c r="P10" s="253"/>
      <c r="Q10" s="40"/>
      <c r="R10" s="40"/>
      <c r="S10" s="40"/>
      <c r="T10" s="40"/>
      <c r="U10" s="40"/>
      <c r="V10" s="40"/>
      <c r="W10" s="40"/>
      <c r="X10" s="40"/>
      <c r="Y10" s="40"/>
      <c r="Z10" s="40"/>
      <c r="AA10" s="40"/>
      <c r="AB10" s="40"/>
      <c r="AC10" s="40"/>
      <c r="AD10" s="40"/>
      <c r="AE10" s="40"/>
      <c r="AF10" s="40"/>
      <c r="AG10" s="40"/>
    </row>
    <row r="11" spans="1:33" s="21" customFormat="1" ht="29" x14ac:dyDescent="0.55000000000000004">
      <c r="B11" s="327"/>
      <c r="C11" s="325" t="s">
        <v>139</v>
      </c>
      <c r="D11" s="325" t="s">
        <v>137</v>
      </c>
      <c r="E11" s="325" t="s">
        <v>138</v>
      </c>
      <c r="F11" s="325" t="s">
        <v>140</v>
      </c>
      <c r="G11" s="325" t="s">
        <v>141</v>
      </c>
      <c r="H11" s="325" t="s">
        <v>142</v>
      </c>
      <c r="I11" s="325" t="s">
        <v>143</v>
      </c>
      <c r="J11" s="376" t="s">
        <v>145</v>
      </c>
      <c r="K11" s="376" t="s">
        <v>146</v>
      </c>
      <c r="L11" s="376" t="s">
        <v>147</v>
      </c>
      <c r="M11" s="47" t="s">
        <v>148</v>
      </c>
      <c r="N11" s="383" t="s">
        <v>149</v>
      </c>
      <c r="O11" s="377" t="s">
        <v>113</v>
      </c>
      <c r="P11" s="46"/>
      <c r="Q11" s="45"/>
      <c r="R11" s="45"/>
      <c r="S11" s="45"/>
      <c r="T11" s="45"/>
      <c r="U11" s="45"/>
      <c r="V11" s="45"/>
      <c r="W11" s="45"/>
      <c r="X11" s="45"/>
      <c r="Y11" s="45"/>
      <c r="Z11" s="45"/>
      <c r="AA11" s="45"/>
      <c r="AB11" s="45"/>
      <c r="AC11" s="45"/>
      <c r="AD11" s="45"/>
      <c r="AE11" s="45"/>
      <c r="AF11" s="45"/>
      <c r="AG11" s="45"/>
    </row>
    <row r="12" spans="1:33" s="255" customFormat="1" ht="20.149999999999999" customHeight="1" x14ac:dyDescent="0.55000000000000004">
      <c r="A12" s="21"/>
      <c r="B12" s="353" t="s">
        <v>1127</v>
      </c>
      <c r="C12" s="816">
        <f>SUM(C14:C22)</f>
        <v>523111</v>
      </c>
      <c r="D12" s="816">
        <f t="shared" ref="D12:M12" si="0">SUM(D14:D22)</f>
        <v>45831</v>
      </c>
      <c r="E12" s="816">
        <f t="shared" si="0"/>
        <v>9176</v>
      </c>
      <c r="F12" s="816">
        <f t="shared" si="0"/>
        <v>41</v>
      </c>
      <c r="G12" s="816">
        <f t="shared" si="0"/>
        <v>210</v>
      </c>
      <c r="H12" s="816">
        <f t="shared" si="0"/>
        <v>26601</v>
      </c>
      <c r="I12" s="816">
        <f t="shared" si="0"/>
        <v>4703</v>
      </c>
      <c r="J12" s="816">
        <f t="shared" si="0"/>
        <v>3299</v>
      </c>
      <c r="K12" s="816">
        <f t="shared" si="0"/>
        <v>16</v>
      </c>
      <c r="L12" s="816">
        <f t="shared" si="0"/>
        <v>4165</v>
      </c>
      <c r="M12" s="816">
        <f t="shared" si="0"/>
        <v>27097</v>
      </c>
      <c r="N12" s="817">
        <f t="shared" ref="N12" si="1">SUM(D12:M12)</f>
        <v>121139</v>
      </c>
      <c r="O12" s="818">
        <f t="shared" ref="O12" si="2">SUM(C12,N12)</f>
        <v>644250</v>
      </c>
      <c r="P12" s="253"/>
      <c r="Q12" s="40"/>
      <c r="R12" s="40"/>
      <c r="S12" s="40"/>
      <c r="T12" s="40"/>
      <c r="U12" s="40"/>
      <c r="V12" s="40"/>
      <c r="W12" s="40"/>
      <c r="X12" s="40"/>
      <c r="Y12" s="40"/>
      <c r="Z12" s="40"/>
      <c r="AA12" s="40"/>
      <c r="AB12" s="40"/>
      <c r="AC12" s="40"/>
      <c r="AD12" s="40"/>
      <c r="AE12" s="40"/>
      <c r="AF12" s="40"/>
      <c r="AG12" s="40"/>
    </row>
    <row r="13" spans="1:33" ht="20.149999999999999" customHeight="1" x14ac:dyDescent="0.3">
      <c r="A13" s="2"/>
      <c r="B13" s="548" t="s">
        <v>1101</v>
      </c>
      <c r="C13" s="13"/>
      <c r="D13" s="13"/>
      <c r="E13" s="13"/>
      <c r="F13" s="13"/>
      <c r="G13" s="13"/>
      <c r="H13" s="13"/>
      <c r="I13" s="13"/>
      <c r="J13" s="13"/>
      <c r="K13" s="13"/>
      <c r="L13" s="13"/>
      <c r="M13" s="13"/>
      <c r="N13" s="13"/>
      <c r="O13" s="13"/>
    </row>
    <row r="14" spans="1:33" s="255" customFormat="1" ht="20.149999999999999" customHeight="1" outlineLevel="1" x14ac:dyDescent="0.55000000000000004">
      <c r="A14" s="34"/>
      <c r="B14" s="544" t="s">
        <v>18</v>
      </c>
      <c r="C14" s="367">
        <v>43774</v>
      </c>
      <c r="D14" s="356">
        <v>2</v>
      </c>
      <c r="E14" s="356">
        <v>3</v>
      </c>
      <c r="F14" s="356">
        <v>0</v>
      </c>
      <c r="G14" s="356">
        <v>0</v>
      </c>
      <c r="H14" s="356">
        <v>164</v>
      </c>
      <c r="I14" s="356">
        <v>0</v>
      </c>
      <c r="J14" s="356">
        <v>5</v>
      </c>
      <c r="K14" s="356">
        <v>0</v>
      </c>
      <c r="L14" s="370">
        <v>637</v>
      </c>
      <c r="M14" s="356">
        <v>417</v>
      </c>
      <c r="N14" s="379">
        <f t="shared" ref="N14:N22" si="3">SUM(D14:M14)</f>
        <v>1228</v>
      </c>
      <c r="O14" s="379">
        <f t="shared" ref="O14:O22" si="4">C14+N14</f>
        <v>45002</v>
      </c>
    </row>
    <row r="15" spans="1:33" s="255" customFormat="1" ht="20.149999999999999" customHeight="1" outlineLevel="1" x14ac:dyDescent="0.55000000000000004">
      <c r="A15" s="34"/>
      <c r="B15" s="545" t="s">
        <v>19</v>
      </c>
      <c r="C15" s="367">
        <v>34897</v>
      </c>
      <c r="D15" s="356">
        <v>0</v>
      </c>
      <c r="E15" s="356">
        <v>0</v>
      </c>
      <c r="F15" s="356">
        <v>0</v>
      </c>
      <c r="G15" s="356">
        <v>25</v>
      </c>
      <c r="H15" s="356">
        <v>623</v>
      </c>
      <c r="I15" s="356">
        <v>0</v>
      </c>
      <c r="J15" s="356">
        <v>12</v>
      </c>
      <c r="K15" s="356">
        <v>16</v>
      </c>
      <c r="L15" s="370">
        <v>330</v>
      </c>
      <c r="M15" s="356">
        <v>702</v>
      </c>
      <c r="N15" s="379">
        <f t="shared" si="3"/>
        <v>1708</v>
      </c>
      <c r="O15" s="379">
        <f t="shared" si="4"/>
        <v>36605</v>
      </c>
    </row>
    <row r="16" spans="1:33" s="255" customFormat="1" ht="20.149999999999999" customHeight="1" outlineLevel="1" x14ac:dyDescent="0.55000000000000004">
      <c r="A16" s="261"/>
      <c r="B16" s="545" t="s">
        <v>20</v>
      </c>
      <c r="C16" s="367">
        <v>29212</v>
      </c>
      <c r="D16" s="356">
        <v>0</v>
      </c>
      <c r="E16" s="356">
        <v>0</v>
      </c>
      <c r="F16" s="356">
        <v>0</v>
      </c>
      <c r="G16" s="356">
        <v>0</v>
      </c>
      <c r="H16" s="356">
        <v>85</v>
      </c>
      <c r="I16" s="356">
        <v>38</v>
      </c>
      <c r="J16" s="356">
        <v>0</v>
      </c>
      <c r="K16" s="356">
        <v>0</v>
      </c>
      <c r="L16" s="370">
        <v>251</v>
      </c>
      <c r="M16" s="356">
        <v>271</v>
      </c>
      <c r="N16" s="379">
        <f t="shared" si="3"/>
        <v>645</v>
      </c>
      <c r="O16" s="379">
        <f t="shared" si="4"/>
        <v>29857</v>
      </c>
    </row>
    <row r="17" spans="1:33" s="255" customFormat="1" ht="20.149999999999999" customHeight="1" outlineLevel="1" x14ac:dyDescent="0.55000000000000004">
      <c r="A17" s="261"/>
      <c r="B17" s="545" t="s">
        <v>21</v>
      </c>
      <c r="C17" s="367">
        <v>32114</v>
      </c>
      <c r="D17" s="356">
        <v>0</v>
      </c>
      <c r="E17" s="356">
        <v>2</v>
      </c>
      <c r="F17" s="356">
        <v>1</v>
      </c>
      <c r="G17" s="356">
        <v>0</v>
      </c>
      <c r="H17" s="356">
        <v>262</v>
      </c>
      <c r="I17" s="356">
        <v>17</v>
      </c>
      <c r="J17" s="356">
        <v>0</v>
      </c>
      <c r="K17" s="356">
        <v>0</v>
      </c>
      <c r="L17" s="370">
        <v>104</v>
      </c>
      <c r="M17" s="356">
        <v>344</v>
      </c>
      <c r="N17" s="379">
        <f t="shared" si="3"/>
        <v>730</v>
      </c>
      <c r="O17" s="379">
        <f t="shared" si="4"/>
        <v>32844</v>
      </c>
    </row>
    <row r="18" spans="1:33" s="255" customFormat="1" ht="20.149999999999999" customHeight="1" outlineLevel="1" x14ac:dyDescent="0.55000000000000004">
      <c r="A18" s="261"/>
      <c r="B18" s="545" t="s">
        <v>22</v>
      </c>
      <c r="C18" s="367">
        <v>110673</v>
      </c>
      <c r="D18" s="356">
        <v>21854</v>
      </c>
      <c r="E18" s="356">
        <v>4532</v>
      </c>
      <c r="F18" s="356">
        <v>39</v>
      </c>
      <c r="G18" s="356">
        <v>147</v>
      </c>
      <c r="H18" s="356">
        <v>16679</v>
      </c>
      <c r="I18" s="356">
        <v>3278</v>
      </c>
      <c r="J18" s="356">
        <v>2516</v>
      </c>
      <c r="K18" s="356">
        <v>0</v>
      </c>
      <c r="L18" s="370">
        <v>1125</v>
      </c>
      <c r="M18" s="356">
        <v>9460</v>
      </c>
      <c r="N18" s="379">
        <f t="shared" si="3"/>
        <v>59630</v>
      </c>
      <c r="O18" s="379">
        <f t="shared" si="4"/>
        <v>170303</v>
      </c>
    </row>
    <row r="19" spans="1:33" s="255" customFormat="1" ht="20.149999999999999" customHeight="1" outlineLevel="1" x14ac:dyDescent="0.55000000000000004">
      <c r="A19" s="261"/>
      <c r="B19" s="545" t="s">
        <v>23</v>
      </c>
      <c r="C19" s="367">
        <v>36923</v>
      </c>
      <c r="D19" s="356">
        <v>0</v>
      </c>
      <c r="E19" s="356">
        <v>0</v>
      </c>
      <c r="F19" s="356">
        <v>0</v>
      </c>
      <c r="G19" s="356">
        <v>0</v>
      </c>
      <c r="H19" s="356">
        <v>272</v>
      </c>
      <c r="I19" s="356">
        <v>0</v>
      </c>
      <c r="J19" s="356">
        <v>0</v>
      </c>
      <c r="K19" s="356">
        <v>0</v>
      </c>
      <c r="L19" s="370">
        <v>86</v>
      </c>
      <c r="M19" s="356">
        <v>457</v>
      </c>
      <c r="N19" s="379">
        <f t="shared" si="3"/>
        <v>815</v>
      </c>
      <c r="O19" s="379">
        <f t="shared" si="4"/>
        <v>37738</v>
      </c>
    </row>
    <row r="20" spans="1:33" s="255" customFormat="1" ht="20.149999999999999" customHeight="1" outlineLevel="1" x14ac:dyDescent="0.55000000000000004">
      <c r="A20" s="261"/>
      <c r="B20" s="545" t="s">
        <v>24</v>
      </c>
      <c r="C20" s="367">
        <v>47819</v>
      </c>
      <c r="D20" s="356">
        <v>782</v>
      </c>
      <c r="E20" s="356">
        <v>86</v>
      </c>
      <c r="F20" s="356">
        <v>0</v>
      </c>
      <c r="G20" s="356">
        <v>2</v>
      </c>
      <c r="H20" s="356">
        <v>1122</v>
      </c>
      <c r="I20" s="356">
        <v>261</v>
      </c>
      <c r="J20" s="356">
        <v>0</v>
      </c>
      <c r="K20" s="356">
        <v>0</v>
      </c>
      <c r="L20" s="370">
        <v>485</v>
      </c>
      <c r="M20" s="356">
        <v>1514</v>
      </c>
      <c r="N20" s="379">
        <f t="shared" si="3"/>
        <v>4252</v>
      </c>
      <c r="O20" s="379">
        <f t="shared" si="4"/>
        <v>52071</v>
      </c>
    </row>
    <row r="21" spans="1:33" s="255" customFormat="1" ht="20.149999999999999" customHeight="1" outlineLevel="1" x14ac:dyDescent="0.55000000000000004">
      <c r="A21" s="261"/>
      <c r="B21" s="545" t="s">
        <v>25</v>
      </c>
      <c r="C21" s="367">
        <v>74437</v>
      </c>
      <c r="D21" s="356">
        <v>408</v>
      </c>
      <c r="E21" s="356">
        <v>252</v>
      </c>
      <c r="F21" s="356">
        <v>0</v>
      </c>
      <c r="G21" s="356">
        <v>27</v>
      </c>
      <c r="H21" s="356">
        <v>872</v>
      </c>
      <c r="I21" s="356">
        <v>139</v>
      </c>
      <c r="J21" s="356">
        <v>85</v>
      </c>
      <c r="K21" s="356">
        <v>0</v>
      </c>
      <c r="L21" s="370">
        <v>310</v>
      </c>
      <c r="M21" s="356">
        <v>3097</v>
      </c>
      <c r="N21" s="379">
        <f t="shared" si="3"/>
        <v>5190</v>
      </c>
      <c r="O21" s="379">
        <f t="shared" si="4"/>
        <v>79627</v>
      </c>
    </row>
    <row r="22" spans="1:33" s="255" customFormat="1" ht="20.149999999999999" customHeight="1" outlineLevel="1" x14ac:dyDescent="0.55000000000000004">
      <c r="A22" s="261"/>
      <c r="B22" s="545" t="s">
        <v>26</v>
      </c>
      <c r="C22" s="367">
        <v>113262</v>
      </c>
      <c r="D22" s="356">
        <v>22785</v>
      </c>
      <c r="E22" s="356">
        <v>4301</v>
      </c>
      <c r="F22" s="356">
        <v>1</v>
      </c>
      <c r="G22" s="356">
        <v>9</v>
      </c>
      <c r="H22" s="356">
        <v>6522</v>
      </c>
      <c r="I22" s="356">
        <v>970</v>
      </c>
      <c r="J22" s="356">
        <v>681</v>
      </c>
      <c r="K22" s="356">
        <v>0</v>
      </c>
      <c r="L22" s="370">
        <v>837</v>
      </c>
      <c r="M22" s="356">
        <v>10835</v>
      </c>
      <c r="N22" s="379">
        <f t="shared" si="3"/>
        <v>46941</v>
      </c>
      <c r="O22" s="379">
        <f t="shared" si="4"/>
        <v>160203</v>
      </c>
    </row>
    <row r="23" spans="1:33" s="255" customFormat="1" ht="20.149999999999999" customHeight="1" x14ac:dyDescent="0.55000000000000004">
      <c r="A23" s="21"/>
      <c r="B23" s="353" t="s">
        <v>1110</v>
      </c>
      <c r="C23" s="374">
        <f>SUM(C25:C33)</f>
        <v>520501</v>
      </c>
      <c r="D23" s="374">
        <f t="shared" ref="D23:M23" si="5">SUM(D25:D33)</f>
        <v>46037</v>
      </c>
      <c r="E23" s="374">
        <f t="shared" si="5"/>
        <v>9233</v>
      </c>
      <c r="F23" s="374">
        <f t="shared" si="5"/>
        <v>41</v>
      </c>
      <c r="G23" s="374">
        <f t="shared" si="5"/>
        <v>213</v>
      </c>
      <c r="H23" s="374">
        <f t="shared" si="5"/>
        <v>26519</v>
      </c>
      <c r="I23" s="374">
        <f t="shared" si="5"/>
        <v>4782</v>
      </c>
      <c r="J23" s="374">
        <f t="shared" si="5"/>
        <v>3299</v>
      </c>
      <c r="K23" s="374">
        <f t="shared" si="5"/>
        <v>16</v>
      </c>
      <c r="L23" s="374">
        <f t="shared" si="5"/>
        <v>4161</v>
      </c>
      <c r="M23" s="374">
        <f t="shared" si="5"/>
        <v>26989</v>
      </c>
      <c r="N23" s="384">
        <f t="shared" ref="N23" si="6">SUM(D23:M23)</f>
        <v>121290</v>
      </c>
      <c r="O23" s="378">
        <f t="shared" ref="O23" si="7">SUM(C23,N23)</f>
        <v>641791</v>
      </c>
      <c r="P23" s="253"/>
      <c r="Q23" s="40"/>
      <c r="R23" s="40"/>
      <c r="S23" s="40"/>
      <c r="T23" s="40"/>
      <c r="U23" s="40"/>
      <c r="V23" s="40"/>
      <c r="W23" s="40"/>
      <c r="X23" s="40"/>
      <c r="Y23" s="40"/>
      <c r="Z23" s="40"/>
      <c r="AA23" s="40"/>
      <c r="AB23" s="40"/>
      <c r="AC23" s="40"/>
      <c r="AD23" s="40"/>
      <c r="AE23" s="40"/>
      <c r="AF23" s="40"/>
      <c r="AG23" s="40"/>
    </row>
    <row r="24" spans="1:33" ht="20.149999999999999" customHeight="1" x14ac:dyDescent="0.3">
      <c r="A24" s="2"/>
      <c r="B24" s="548" t="s">
        <v>1101</v>
      </c>
      <c r="C24" s="543"/>
      <c r="D24" s="543"/>
      <c r="E24" s="543"/>
      <c r="F24" s="543"/>
      <c r="G24" s="543"/>
      <c r="H24" s="543"/>
      <c r="I24" s="543"/>
      <c r="J24" s="543"/>
      <c r="K24" s="543"/>
      <c r="L24" s="543"/>
      <c r="M24" s="543"/>
      <c r="N24" s="543"/>
      <c r="O24" s="543"/>
    </row>
    <row r="25" spans="1:33" s="255" customFormat="1" ht="20.149999999999999" hidden="1" customHeight="1" outlineLevel="1" x14ac:dyDescent="0.55000000000000004">
      <c r="A25" s="34"/>
      <c r="B25" s="544" t="s">
        <v>18</v>
      </c>
      <c r="C25" s="579">
        <v>43746</v>
      </c>
      <c r="D25" s="363">
        <v>2</v>
      </c>
      <c r="E25" s="363">
        <v>3</v>
      </c>
      <c r="F25" s="363">
        <v>0</v>
      </c>
      <c r="G25" s="363">
        <v>0</v>
      </c>
      <c r="H25" s="363">
        <f>43+121</f>
        <v>164</v>
      </c>
      <c r="I25" s="363">
        <v>0</v>
      </c>
      <c r="J25" s="363">
        <v>5</v>
      </c>
      <c r="K25" s="363">
        <v>0</v>
      </c>
      <c r="L25" s="580">
        <f>497+73+73</f>
        <v>643</v>
      </c>
      <c r="M25" s="363">
        <v>410</v>
      </c>
      <c r="N25" s="381">
        <f t="shared" ref="N25:N33" si="8">SUM(D25:M25)</f>
        <v>1227</v>
      </c>
      <c r="O25" s="381">
        <f t="shared" ref="O25:O33" si="9">C25+N25</f>
        <v>44973</v>
      </c>
    </row>
    <row r="26" spans="1:33" s="255" customFormat="1" ht="20.149999999999999" hidden="1" customHeight="1" outlineLevel="1" x14ac:dyDescent="0.55000000000000004">
      <c r="A26" s="34"/>
      <c r="B26" s="545" t="s">
        <v>19</v>
      </c>
      <c r="C26" s="579">
        <v>34846</v>
      </c>
      <c r="D26" s="363">
        <v>0</v>
      </c>
      <c r="E26" s="363">
        <v>0</v>
      </c>
      <c r="F26" s="363">
        <v>0</v>
      </c>
      <c r="G26" s="363">
        <v>26</v>
      </c>
      <c r="H26" s="363">
        <f>415+214</f>
        <v>629</v>
      </c>
      <c r="I26" s="363">
        <v>0</v>
      </c>
      <c r="J26" s="363">
        <v>12</v>
      </c>
      <c r="K26" s="363">
        <v>16</v>
      </c>
      <c r="L26" s="580">
        <f>202+64+64</f>
        <v>330</v>
      </c>
      <c r="M26" s="363">
        <v>694</v>
      </c>
      <c r="N26" s="381">
        <f t="shared" si="8"/>
        <v>1707</v>
      </c>
      <c r="O26" s="381">
        <f t="shared" si="9"/>
        <v>36553</v>
      </c>
    </row>
    <row r="27" spans="1:33" s="255" customFormat="1" ht="20.149999999999999" hidden="1" customHeight="1" outlineLevel="1" x14ac:dyDescent="0.55000000000000004">
      <c r="A27" s="261"/>
      <c r="B27" s="545" t="s">
        <v>20</v>
      </c>
      <c r="C27" s="579">
        <v>29189</v>
      </c>
      <c r="D27" s="363">
        <v>0</v>
      </c>
      <c r="E27" s="363">
        <v>0</v>
      </c>
      <c r="F27" s="363">
        <v>0</v>
      </c>
      <c r="G27" s="363">
        <v>0</v>
      </c>
      <c r="H27" s="363">
        <v>86</v>
      </c>
      <c r="I27" s="363">
        <v>38</v>
      </c>
      <c r="J27" s="363">
        <v>0</v>
      </c>
      <c r="K27" s="363">
        <v>0</v>
      </c>
      <c r="L27" s="580">
        <f>73+89+89</f>
        <v>251</v>
      </c>
      <c r="M27" s="363">
        <v>288</v>
      </c>
      <c r="N27" s="381">
        <f t="shared" si="8"/>
        <v>663</v>
      </c>
      <c r="O27" s="381">
        <f t="shared" si="9"/>
        <v>29852</v>
      </c>
    </row>
    <row r="28" spans="1:33" s="255" customFormat="1" ht="20.149999999999999" hidden="1" customHeight="1" outlineLevel="1" x14ac:dyDescent="0.55000000000000004">
      <c r="A28" s="261"/>
      <c r="B28" s="545" t="s">
        <v>21</v>
      </c>
      <c r="C28" s="579">
        <v>32116</v>
      </c>
      <c r="D28" s="363">
        <v>0</v>
      </c>
      <c r="E28" s="363">
        <v>2</v>
      </c>
      <c r="F28" s="363">
        <v>1</v>
      </c>
      <c r="G28" s="363">
        <v>0</v>
      </c>
      <c r="H28" s="363">
        <f>211+54</f>
        <v>265</v>
      </c>
      <c r="I28" s="363">
        <v>18</v>
      </c>
      <c r="J28" s="363">
        <v>0</v>
      </c>
      <c r="K28" s="363">
        <v>0</v>
      </c>
      <c r="L28" s="580">
        <f>72+16+16</f>
        <v>104</v>
      </c>
      <c r="M28" s="363">
        <v>334</v>
      </c>
      <c r="N28" s="381">
        <f t="shared" si="8"/>
        <v>724</v>
      </c>
      <c r="O28" s="381">
        <f t="shared" si="9"/>
        <v>32840</v>
      </c>
    </row>
    <row r="29" spans="1:33" s="255" customFormat="1" ht="20.149999999999999" hidden="1" customHeight="1" outlineLevel="1" x14ac:dyDescent="0.55000000000000004">
      <c r="A29" s="261"/>
      <c r="B29" s="545" t="s">
        <v>22</v>
      </c>
      <c r="C29" s="579">
        <v>109884</v>
      </c>
      <c r="D29" s="363">
        <f>21021+74+870</f>
        <v>21965</v>
      </c>
      <c r="E29" s="363">
        <f>4198+55+302</f>
        <v>4555</v>
      </c>
      <c r="F29" s="363">
        <v>39</v>
      </c>
      <c r="G29" s="363">
        <v>149</v>
      </c>
      <c r="H29" s="363">
        <f>14908+1707</f>
        <v>16615</v>
      </c>
      <c r="I29" s="363">
        <v>3355</v>
      </c>
      <c r="J29" s="363">
        <v>2516</v>
      </c>
      <c r="K29" s="363">
        <v>0</v>
      </c>
      <c r="L29" s="580">
        <f>1040+42+43</f>
        <v>1125</v>
      </c>
      <c r="M29" s="363">
        <v>9403</v>
      </c>
      <c r="N29" s="381">
        <f t="shared" si="8"/>
        <v>59722</v>
      </c>
      <c r="O29" s="381">
        <f t="shared" si="9"/>
        <v>169606</v>
      </c>
    </row>
    <row r="30" spans="1:33" s="255" customFormat="1" ht="20.149999999999999" hidden="1" customHeight="1" outlineLevel="1" x14ac:dyDescent="0.55000000000000004">
      <c r="A30" s="261"/>
      <c r="B30" s="545" t="s">
        <v>23</v>
      </c>
      <c r="C30" s="579">
        <v>36937</v>
      </c>
      <c r="D30" s="363">
        <v>0</v>
      </c>
      <c r="E30" s="363">
        <v>0</v>
      </c>
      <c r="F30" s="363">
        <v>0</v>
      </c>
      <c r="G30" s="363">
        <v>0</v>
      </c>
      <c r="H30" s="363">
        <f>45+220</f>
        <v>265</v>
      </c>
      <c r="I30" s="363">
        <v>0</v>
      </c>
      <c r="J30" s="363">
        <v>0</v>
      </c>
      <c r="K30" s="363">
        <v>0</v>
      </c>
      <c r="L30" s="580">
        <f>72+7+7</f>
        <v>86</v>
      </c>
      <c r="M30" s="363">
        <v>430</v>
      </c>
      <c r="N30" s="381">
        <f t="shared" si="8"/>
        <v>781</v>
      </c>
      <c r="O30" s="381">
        <f t="shared" si="9"/>
        <v>37718</v>
      </c>
    </row>
    <row r="31" spans="1:33" s="255" customFormat="1" ht="20.149999999999999" hidden="1" customHeight="1" outlineLevel="1" x14ac:dyDescent="0.55000000000000004">
      <c r="A31" s="261"/>
      <c r="B31" s="545" t="s">
        <v>24</v>
      </c>
      <c r="C31" s="579">
        <v>47716</v>
      </c>
      <c r="D31" s="363">
        <f>410+4+372</f>
        <v>786</v>
      </c>
      <c r="E31" s="363">
        <f>21+6+60</f>
        <v>87</v>
      </c>
      <c r="F31" s="363">
        <v>0</v>
      </c>
      <c r="G31" s="363">
        <v>2</v>
      </c>
      <c r="H31" s="363">
        <f>303+795</f>
        <v>1098</v>
      </c>
      <c r="I31" s="363">
        <v>264</v>
      </c>
      <c r="J31" s="363">
        <v>0</v>
      </c>
      <c r="K31" s="363">
        <v>0</v>
      </c>
      <c r="L31" s="580">
        <f>465+5+5</f>
        <v>475</v>
      </c>
      <c r="M31" s="363">
        <v>1472</v>
      </c>
      <c r="N31" s="381">
        <f t="shared" si="8"/>
        <v>4184</v>
      </c>
      <c r="O31" s="381">
        <f t="shared" si="9"/>
        <v>51900</v>
      </c>
    </row>
    <row r="32" spans="1:33" s="255" customFormat="1" ht="20.149999999999999" hidden="1" customHeight="1" outlineLevel="1" x14ac:dyDescent="0.55000000000000004">
      <c r="A32" s="261"/>
      <c r="B32" s="545" t="s">
        <v>25</v>
      </c>
      <c r="C32" s="579">
        <v>74098</v>
      </c>
      <c r="D32" s="363">
        <f>40+18+386</f>
        <v>444</v>
      </c>
      <c r="E32" s="363">
        <f>38+36+185</f>
        <v>259</v>
      </c>
      <c r="F32" s="363">
        <v>0</v>
      </c>
      <c r="G32" s="363">
        <v>27</v>
      </c>
      <c r="H32" s="363">
        <f>44+832</f>
        <v>876</v>
      </c>
      <c r="I32" s="363">
        <v>140</v>
      </c>
      <c r="J32" s="363">
        <v>85</v>
      </c>
      <c r="K32" s="363">
        <v>0</v>
      </c>
      <c r="L32" s="580">
        <f>288+11+11</f>
        <v>310</v>
      </c>
      <c r="M32" s="363">
        <f>3049</f>
        <v>3049</v>
      </c>
      <c r="N32" s="381">
        <f t="shared" si="8"/>
        <v>5190</v>
      </c>
      <c r="O32" s="381">
        <f t="shared" si="9"/>
        <v>79288</v>
      </c>
    </row>
    <row r="33" spans="1:33" s="255" customFormat="1" ht="20.149999999999999" hidden="1" customHeight="1" outlineLevel="1" x14ac:dyDescent="0.55000000000000004">
      <c r="A33" s="261"/>
      <c r="B33" s="545" t="s">
        <v>26</v>
      </c>
      <c r="C33" s="579">
        <v>111969</v>
      </c>
      <c r="D33" s="363">
        <f>22432+32+376</f>
        <v>22840</v>
      </c>
      <c r="E33" s="363">
        <f>3979+88+260</f>
        <v>4327</v>
      </c>
      <c r="F33" s="363">
        <v>1</v>
      </c>
      <c r="G33" s="363">
        <v>9</v>
      </c>
      <c r="H33" s="363">
        <f>6019+502</f>
        <v>6521</v>
      </c>
      <c r="I33" s="363">
        <v>967</v>
      </c>
      <c r="J33" s="363">
        <v>681</v>
      </c>
      <c r="K33" s="363">
        <v>0</v>
      </c>
      <c r="L33" s="580">
        <f>755+41+41</f>
        <v>837</v>
      </c>
      <c r="M33" s="363">
        <v>10909</v>
      </c>
      <c r="N33" s="381">
        <f t="shared" si="8"/>
        <v>47092</v>
      </c>
      <c r="O33" s="381">
        <f t="shared" si="9"/>
        <v>159061</v>
      </c>
    </row>
    <row r="34" spans="1:33" s="255" customFormat="1" ht="20.149999999999999" customHeight="1" collapsed="1" x14ac:dyDescent="0.55000000000000004">
      <c r="A34" s="21"/>
      <c r="B34" s="531" t="s">
        <v>1078</v>
      </c>
      <c r="C34" s="387">
        <v>521745</v>
      </c>
      <c r="D34" s="366">
        <v>46222</v>
      </c>
      <c r="E34" s="366">
        <v>9294</v>
      </c>
      <c r="F34" s="366">
        <v>41</v>
      </c>
      <c r="G34" s="366">
        <v>212</v>
      </c>
      <c r="H34" s="366">
        <v>26481</v>
      </c>
      <c r="I34" s="366">
        <v>4753</v>
      </c>
      <c r="J34" s="366">
        <v>3299</v>
      </c>
      <c r="K34" s="366">
        <v>16</v>
      </c>
      <c r="L34" s="366">
        <v>4159</v>
      </c>
      <c r="M34" s="366">
        <v>26969</v>
      </c>
      <c r="N34" s="390">
        <f t="shared" ref="N34" si="10">SUM(D34:M34)</f>
        <v>121446</v>
      </c>
      <c r="O34" s="381">
        <f t="shared" ref="O34" si="11">SUM(C34,N34)</f>
        <v>643191</v>
      </c>
      <c r="P34" s="253"/>
      <c r="Q34" s="40"/>
      <c r="R34" s="40"/>
      <c r="S34" s="40"/>
      <c r="T34" s="40"/>
      <c r="U34" s="40"/>
      <c r="V34" s="40"/>
      <c r="W34" s="40"/>
      <c r="X34" s="40"/>
      <c r="Y34" s="40"/>
      <c r="Z34" s="40"/>
      <c r="AA34" s="40"/>
      <c r="AB34" s="40"/>
      <c r="AC34" s="40"/>
      <c r="AD34" s="40"/>
      <c r="AE34" s="40"/>
      <c r="AF34" s="40"/>
      <c r="AG34" s="40"/>
    </row>
    <row r="35" spans="1:33" ht="20.149999999999999" customHeight="1" x14ac:dyDescent="0.3">
      <c r="A35" s="2"/>
      <c r="B35" s="548" t="s">
        <v>1101</v>
      </c>
      <c r="C35" s="543"/>
      <c r="D35" s="543"/>
      <c r="E35" s="543"/>
      <c r="F35" s="543"/>
      <c r="G35" s="543"/>
      <c r="H35" s="543"/>
      <c r="I35" s="543"/>
      <c r="J35" s="543"/>
      <c r="K35" s="543"/>
      <c r="L35" s="543"/>
      <c r="M35" s="543"/>
      <c r="N35" s="543"/>
      <c r="O35" s="543"/>
    </row>
    <row r="36" spans="1:33" s="255" customFormat="1" ht="20.149999999999999" hidden="1" customHeight="1" outlineLevel="1" x14ac:dyDescent="0.55000000000000004">
      <c r="A36" s="34"/>
      <c r="B36" s="544" t="s">
        <v>18</v>
      </c>
      <c r="C36" s="387">
        <v>43666</v>
      </c>
      <c r="D36" s="366">
        <v>2</v>
      </c>
      <c r="E36" s="366">
        <v>3</v>
      </c>
      <c r="F36" s="366">
        <v>0</v>
      </c>
      <c r="G36" s="366">
        <v>0</v>
      </c>
      <c r="H36" s="366">
        <v>165</v>
      </c>
      <c r="I36" s="366">
        <v>0</v>
      </c>
      <c r="J36" s="366">
        <v>5</v>
      </c>
      <c r="K36" s="366">
        <v>0</v>
      </c>
      <c r="L36" s="366">
        <v>641</v>
      </c>
      <c r="M36" s="366">
        <v>420</v>
      </c>
      <c r="N36" s="384">
        <f t="shared" ref="N36" si="12">SUM(D36:M36)</f>
        <v>1236</v>
      </c>
      <c r="O36" s="378">
        <f t="shared" ref="O36:O44" si="13">N36+C36</f>
        <v>44902</v>
      </c>
    </row>
    <row r="37" spans="1:33" s="255" customFormat="1" ht="20.149999999999999" hidden="1" customHeight="1" outlineLevel="1" x14ac:dyDescent="0.55000000000000004">
      <c r="A37" s="34"/>
      <c r="B37" s="545" t="s">
        <v>19</v>
      </c>
      <c r="C37" s="387">
        <v>34761</v>
      </c>
      <c r="D37" s="366">
        <v>0</v>
      </c>
      <c r="E37" s="366">
        <v>0</v>
      </c>
      <c r="F37" s="366">
        <v>0</v>
      </c>
      <c r="G37" s="366">
        <v>26</v>
      </c>
      <c r="H37" s="366">
        <v>630</v>
      </c>
      <c r="I37" s="366">
        <v>0</v>
      </c>
      <c r="J37" s="366">
        <v>12</v>
      </c>
      <c r="K37" s="366">
        <v>16</v>
      </c>
      <c r="L37" s="366">
        <v>330</v>
      </c>
      <c r="M37" s="366">
        <v>697</v>
      </c>
      <c r="N37" s="384">
        <f t="shared" ref="N37:N44" si="14">SUM(D37:M37)</f>
        <v>1711</v>
      </c>
      <c r="O37" s="378">
        <f t="shared" si="13"/>
        <v>36472</v>
      </c>
    </row>
    <row r="38" spans="1:33" s="255" customFormat="1" ht="20.149999999999999" hidden="1" customHeight="1" outlineLevel="1" x14ac:dyDescent="0.55000000000000004">
      <c r="A38" s="261"/>
      <c r="B38" s="545" t="s">
        <v>20</v>
      </c>
      <c r="C38" s="387">
        <v>29194</v>
      </c>
      <c r="D38" s="366">
        <v>0</v>
      </c>
      <c r="E38" s="366">
        <v>0</v>
      </c>
      <c r="F38" s="366">
        <v>0</v>
      </c>
      <c r="G38" s="366">
        <v>0</v>
      </c>
      <c r="H38" s="366">
        <v>86</v>
      </c>
      <c r="I38" s="366">
        <v>39</v>
      </c>
      <c r="J38" s="366">
        <v>0</v>
      </c>
      <c r="K38" s="366">
        <v>0</v>
      </c>
      <c r="L38" s="366">
        <v>251</v>
      </c>
      <c r="M38" s="366">
        <v>281</v>
      </c>
      <c r="N38" s="384">
        <f t="shared" si="14"/>
        <v>657</v>
      </c>
      <c r="O38" s="378">
        <f t="shared" si="13"/>
        <v>29851</v>
      </c>
    </row>
    <row r="39" spans="1:33" s="255" customFormat="1" ht="20.149999999999999" hidden="1" customHeight="1" outlineLevel="1" x14ac:dyDescent="0.55000000000000004">
      <c r="A39" s="261"/>
      <c r="B39" s="545" t="s">
        <v>21</v>
      </c>
      <c r="C39" s="387">
        <v>32130</v>
      </c>
      <c r="D39" s="366">
        <v>0</v>
      </c>
      <c r="E39" s="366">
        <v>1</v>
      </c>
      <c r="F39" s="366">
        <v>1</v>
      </c>
      <c r="G39" s="366">
        <v>0</v>
      </c>
      <c r="H39" s="366">
        <v>264</v>
      </c>
      <c r="I39" s="366">
        <v>18</v>
      </c>
      <c r="J39" s="366">
        <v>0</v>
      </c>
      <c r="K39" s="366">
        <v>0</v>
      </c>
      <c r="L39" s="366">
        <v>104</v>
      </c>
      <c r="M39" s="366">
        <v>332</v>
      </c>
      <c r="N39" s="384">
        <f t="shared" si="14"/>
        <v>720</v>
      </c>
      <c r="O39" s="378">
        <f t="shared" si="13"/>
        <v>32850</v>
      </c>
    </row>
    <row r="40" spans="1:33" s="255" customFormat="1" ht="20.149999999999999" hidden="1" customHeight="1" outlineLevel="1" x14ac:dyDescent="0.55000000000000004">
      <c r="A40" s="261"/>
      <c r="B40" s="545" t="s">
        <v>22</v>
      </c>
      <c r="C40" s="387">
        <v>110446</v>
      </c>
      <c r="D40" s="366">
        <v>22070</v>
      </c>
      <c r="E40" s="366">
        <v>4578</v>
      </c>
      <c r="F40" s="366">
        <v>39</v>
      </c>
      <c r="G40" s="366">
        <v>148</v>
      </c>
      <c r="H40" s="366">
        <v>16565</v>
      </c>
      <c r="I40" s="366">
        <v>3322</v>
      </c>
      <c r="J40" s="366">
        <v>2516</v>
      </c>
      <c r="K40" s="366">
        <v>0</v>
      </c>
      <c r="L40" s="366">
        <v>1125</v>
      </c>
      <c r="M40" s="366">
        <v>9457</v>
      </c>
      <c r="N40" s="384">
        <f t="shared" si="14"/>
        <v>59820</v>
      </c>
      <c r="O40" s="378">
        <f t="shared" si="13"/>
        <v>170266</v>
      </c>
    </row>
    <row r="41" spans="1:33" s="255" customFormat="1" ht="20.149999999999999" hidden="1" customHeight="1" outlineLevel="1" x14ac:dyDescent="0.55000000000000004">
      <c r="A41" s="261"/>
      <c r="B41" s="545" t="s">
        <v>23</v>
      </c>
      <c r="C41" s="387">
        <v>37017</v>
      </c>
      <c r="D41" s="366">
        <v>0</v>
      </c>
      <c r="E41" s="366">
        <v>0</v>
      </c>
      <c r="F41" s="366">
        <v>0</v>
      </c>
      <c r="G41" s="366">
        <v>0</v>
      </c>
      <c r="H41" s="366">
        <v>261</v>
      </c>
      <c r="I41" s="366">
        <v>0</v>
      </c>
      <c r="J41" s="366">
        <v>0</v>
      </c>
      <c r="K41" s="366">
        <v>0</v>
      </c>
      <c r="L41" s="366">
        <v>86</v>
      </c>
      <c r="M41" s="366">
        <v>420</v>
      </c>
      <c r="N41" s="384">
        <f t="shared" si="14"/>
        <v>767</v>
      </c>
      <c r="O41" s="378">
        <f t="shared" si="13"/>
        <v>37784</v>
      </c>
    </row>
    <row r="42" spans="1:33" s="255" customFormat="1" ht="20.149999999999999" hidden="1" customHeight="1" outlineLevel="1" x14ac:dyDescent="0.55000000000000004">
      <c r="A42" s="261"/>
      <c r="B42" s="545" t="s">
        <v>24</v>
      </c>
      <c r="C42" s="387">
        <v>47726</v>
      </c>
      <c r="D42" s="366">
        <v>812</v>
      </c>
      <c r="E42" s="366">
        <v>87</v>
      </c>
      <c r="F42" s="366">
        <v>0</v>
      </c>
      <c r="G42" s="366">
        <v>2</v>
      </c>
      <c r="H42" s="366">
        <v>1116</v>
      </c>
      <c r="I42" s="366">
        <v>265</v>
      </c>
      <c r="J42" s="366">
        <v>0</v>
      </c>
      <c r="K42" s="366">
        <v>0</v>
      </c>
      <c r="L42" s="366">
        <v>475</v>
      </c>
      <c r="M42" s="366">
        <v>1445</v>
      </c>
      <c r="N42" s="384">
        <f t="shared" si="14"/>
        <v>4202</v>
      </c>
      <c r="O42" s="378">
        <f t="shared" si="13"/>
        <v>51928</v>
      </c>
    </row>
    <row r="43" spans="1:33" s="255" customFormat="1" ht="20.149999999999999" hidden="1" customHeight="1" outlineLevel="1" x14ac:dyDescent="0.55000000000000004">
      <c r="A43" s="261"/>
      <c r="B43" s="545" t="s">
        <v>25</v>
      </c>
      <c r="C43" s="387">
        <v>73911</v>
      </c>
      <c r="D43" s="366">
        <v>457</v>
      </c>
      <c r="E43" s="366">
        <v>259</v>
      </c>
      <c r="F43" s="366">
        <v>0</v>
      </c>
      <c r="G43" s="366">
        <v>27</v>
      </c>
      <c r="H43" s="366">
        <v>871</v>
      </c>
      <c r="I43" s="366">
        <v>145</v>
      </c>
      <c r="J43" s="366">
        <v>85</v>
      </c>
      <c r="K43" s="366">
        <v>0</v>
      </c>
      <c r="L43" s="366">
        <v>310</v>
      </c>
      <c r="M43" s="366">
        <v>3040</v>
      </c>
      <c r="N43" s="384">
        <f t="shared" si="14"/>
        <v>5194</v>
      </c>
      <c r="O43" s="378">
        <f t="shared" si="13"/>
        <v>79105</v>
      </c>
    </row>
    <row r="44" spans="1:33" s="255" customFormat="1" ht="20.149999999999999" hidden="1" customHeight="1" outlineLevel="1" x14ac:dyDescent="0.55000000000000004">
      <c r="A44" s="261"/>
      <c r="B44" s="545" t="s">
        <v>26</v>
      </c>
      <c r="C44" s="387">
        <v>112894</v>
      </c>
      <c r="D44" s="366">
        <v>22881</v>
      </c>
      <c r="E44" s="366">
        <v>4366</v>
      </c>
      <c r="F44" s="366">
        <v>1</v>
      </c>
      <c r="G44" s="366">
        <v>9</v>
      </c>
      <c r="H44" s="366">
        <v>6523</v>
      </c>
      <c r="I44" s="366">
        <v>964</v>
      </c>
      <c r="J44" s="366">
        <v>681</v>
      </c>
      <c r="K44" s="366">
        <v>0</v>
      </c>
      <c r="L44" s="366">
        <v>837</v>
      </c>
      <c r="M44" s="366">
        <v>10877</v>
      </c>
      <c r="N44" s="384">
        <f t="shared" si="14"/>
        <v>47139</v>
      </c>
      <c r="O44" s="378">
        <f t="shared" si="13"/>
        <v>160033</v>
      </c>
    </row>
    <row r="45" spans="1:33" s="255" customFormat="1" ht="20.149999999999999" customHeight="1" collapsed="1" x14ac:dyDescent="0.55000000000000004">
      <c r="A45" s="21"/>
      <c r="B45" s="531" t="s">
        <v>1079</v>
      </c>
      <c r="C45" s="387">
        <v>519331</v>
      </c>
      <c r="D45" s="366">
        <v>46443</v>
      </c>
      <c r="E45" s="366">
        <v>9332</v>
      </c>
      <c r="F45" s="366">
        <v>41</v>
      </c>
      <c r="G45" s="366">
        <v>214</v>
      </c>
      <c r="H45" s="366">
        <v>26441</v>
      </c>
      <c r="I45" s="366">
        <v>4770</v>
      </c>
      <c r="J45" s="366">
        <v>3299</v>
      </c>
      <c r="K45" s="366">
        <v>16</v>
      </c>
      <c r="L45" s="366">
        <v>4171</v>
      </c>
      <c r="M45" s="366">
        <v>26740</v>
      </c>
      <c r="N45" s="384">
        <f t="shared" ref="N45:N79" si="15">SUM(D45:M45)</f>
        <v>121467</v>
      </c>
      <c r="O45" s="378">
        <f t="shared" ref="O45:O79" si="16">SUM(C45,N45)</f>
        <v>640798</v>
      </c>
      <c r="P45" s="253"/>
      <c r="Q45" s="40"/>
      <c r="R45" s="40"/>
      <c r="S45" s="40"/>
      <c r="T45" s="40"/>
      <c r="U45" s="40"/>
      <c r="V45" s="40"/>
      <c r="W45" s="40"/>
      <c r="X45" s="40"/>
      <c r="Y45" s="40"/>
      <c r="Z45" s="40"/>
      <c r="AA45" s="40"/>
      <c r="AB45" s="40"/>
      <c r="AC45" s="40"/>
      <c r="AD45" s="40"/>
      <c r="AE45" s="40"/>
      <c r="AF45" s="40"/>
      <c r="AG45" s="40"/>
    </row>
    <row r="46" spans="1:33" ht="20.149999999999999" customHeight="1" x14ac:dyDescent="0.3">
      <c r="A46" s="2"/>
      <c r="B46" s="548" t="s">
        <v>1101</v>
      </c>
      <c r="C46" s="543"/>
      <c r="D46" s="543"/>
      <c r="E46" s="543"/>
      <c r="F46" s="543"/>
      <c r="G46" s="543"/>
      <c r="H46" s="543"/>
      <c r="I46" s="543"/>
      <c r="J46" s="543"/>
      <c r="K46" s="543"/>
      <c r="L46" s="543"/>
      <c r="M46" s="543"/>
      <c r="N46" s="543"/>
      <c r="O46" s="543"/>
    </row>
    <row r="47" spans="1:33" s="255" customFormat="1" ht="20.149999999999999" hidden="1" customHeight="1" outlineLevel="1" x14ac:dyDescent="0.55000000000000004">
      <c r="A47" s="34"/>
      <c r="B47" s="544" t="s">
        <v>18</v>
      </c>
      <c r="C47" s="387">
        <v>43547</v>
      </c>
      <c r="D47" s="366">
        <v>2</v>
      </c>
      <c r="E47" s="366">
        <v>3</v>
      </c>
      <c r="F47" s="366">
        <v>0</v>
      </c>
      <c r="G47" s="366">
        <v>0</v>
      </c>
      <c r="H47" s="366">
        <v>168</v>
      </c>
      <c r="I47" s="366">
        <v>0</v>
      </c>
      <c r="J47" s="366">
        <v>5</v>
      </c>
      <c r="K47" s="366">
        <v>0</v>
      </c>
      <c r="L47" s="366">
        <v>660</v>
      </c>
      <c r="M47" s="366">
        <v>400</v>
      </c>
      <c r="N47" s="384">
        <f t="shared" ref="N47" si="17">SUM(D47:M47)</f>
        <v>1238</v>
      </c>
      <c r="O47" s="378">
        <f t="shared" ref="O47:O55" si="18">N47+C47</f>
        <v>44785</v>
      </c>
    </row>
    <row r="48" spans="1:33" s="255" customFormat="1" ht="20.149999999999999" hidden="1" customHeight="1" outlineLevel="1" x14ac:dyDescent="0.55000000000000004">
      <c r="A48" s="34"/>
      <c r="B48" s="545" t="s">
        <v>19</v>
      </c>
      <c r="C48" s="387">
        <v>34674</v>
      </c>
      <c r="D48" s="366">
        <v>0</v>
      </c>
      <c r="E48" s="366">
        <v>0</v>
      </c>
      <c r="F48" s="366">
        <v>0</v>
      </c>
      <c r="G48" s="366">
        <v>27</v>
      </c>
      <c r="H48" s="366">
        <v>632</v>
      </c>
      <c r="I48" s="366">
        <v>0</v>
      </c>
      <c r="J48" s="366">
        <v>12</v>
      </c>
      <c r="K48" s="366">
        <v>16</v>
      </c>
      <c r="L48" s="366">
        <v>330</v>
      </c>
      <c r="M48" s="366">
        <v>699</v>
      </c>
      <c r="N48" s="384">
        <f t="shared" ref="N48:N55" si="19">SUM(D48:M48)</f>
        <v>1716</v>
      </c>
      <c r="O48" s="378">
        <f t="shared" si="18"/>
        <v>36390</v>
      </c>
    </row>
    <row r="49" spans="1:33" s="255" customFormat="1" ht="20.149999999999999" hidden="1" customHeight="1" outlineLevel="1" x14ac:dyDescent="0.55000000000000004">
      <c r="A49" s="261"/>
      <c r="B49" s="545" t="s">
        <v>20</v>
      </c>
      <c r="C49" s="387">
        <v>29196</v>
      </c>
      <c r="D49" s="366">
        <v>0</v>
      </c>
      <c r="E49" s="366">
        <v>0</v>
      </c>
      <c r="F49" s="366">
        <v>0</v>
      </c>
      <c r="G49" s="366">
        <v>0</v>
      </c>
      <c r="H49" s="366">
        <v>87</v>
      </c>
      <c r="I49" s="366">
        <v>40</v>
      </c>
      <c r="J49" s="366">
        <v>0</v>
      </c>
      <c r="K49" s="366">
        <v>0</v>
      </c>
      <c r="L49" s="366">
        <v>249</v>
      </c>
      <c r="M49" s="366">
        <v>282</v>
      </c>
      <c r="N49" s="384">
        <f t="shared" si="19"/>
        <v>658</v>
      </c>
      <c r="O49" s="378">
        <f t="shared" si="18"/>
        <v>29854</v>
      </c>
    </row>
    <row r="50" spans="1:33" s="255" customFormat="1" ht="20.149999999999999" hidden="1" customHeight="1" outlineLevel="1" x14ac:dyDescent="0.55000000000000004">
      <c r="A50" s="261"/>
      <c r="B50" s="545" t="s">
        <v>21</v>
      </c>
      <c r="C50" s="387">
        <v>32128</v>
      </c>
      <c r="D50" s="366">
        <v>0</v>
      </c>
      <c r="E50" s="366">
        <v>1</v>
      </c>
      <c r="F50" s="366">
        <v>1</v>
      </c>
      <c r="G50" s="366">
        <v>0</v>
      </c>
      <c r="H50" s="366">
        <v>265</v>
      </c>
      <c r="I50" s="366">
        <v>18</v>
      </c>
      <c r="J50" s="366">
        <v>0</v>
      </c>
      <c r="K50" s="366">
        <v>0</v>
      </c>
      <c r="L50" s="366">
        <v>104</v>
      </c>
      <c r="M50" s="366">
        <v>326</v>
      </c>
      <c r="N50" s="384">
        <f t="shared" si="19"/>
        <v>715</v>
      </c>
      <c r="O50" s="378">
        <f t="shared" si="18"/>
        <v>32843</v>
      </c>
    </row>
    <row r="51" spans="1:33" s="255" customFormat="1" ht="20.149999999999999" hidden="1" customHeight="1" outlineLevel="1" x14ac:dyDescent="0.55000000000000004">
      <c r="A51" s="261"/>
      <c r="B51" s="545" t="s">
        <v>22</v>
      </c>
      <c r="C51" s="387">
        <v>109506</v>
      </c>
      <c r="D51" s="366">
        <v>22210</v>
      </c>
      <c r="E51" s="366">
        <v>4605</v>
      </c>
      <c r="F51" s="366">
        <v>39</v>
      </c>
      <c r="G51" s="366">
        <v>148</v>
      </c>
      <c r="H51" s="366">
        <v>16515</v>
      </c>
      <c r="I51" s="366">
        <v>3328</v>
      </c>
      <c r="J51" s="366">
        <v>2516</v>
      </c>
      <c r="K51" s="366">
        <v>0</v>
      </c>
      <c r="L51" s="366">
        <v>1125</v>
      </c>
      <c r="M51" s="366">
        <v>9322</v>
      </c>
      <c r="N51" s="384">
        <f t="shared" si="19"/>
        <v>59808</v>
      </c>
      <c r="O51" s="378">
        <f t="shared" si="18"/>
        <v>169314</v>
      </c>
    </row>
    <row r="52" spans="1:33" s="255" customFormat="1" ht="20.149999999999999" hidden="1" customHeight="1" outlineLevel="1" x14ac:dyDescent="0.55000000000000004">
      <c r="A52" s="261"/>
      <c r="B52" s="545" t="s">
        <v>23</v>
      </c>
      <c r="C52" s="387">
        <v>37063</v>
      </c>
      <c r="D52" s="366">
        <v>0</v>
      </c>
      <c r="E52" s="366">
        <v>1</v>
      </c>
      <c r="F52" s="366">
        <v>0</v>
      </c>
      <c r="G52" s="366">
        <v>0</v>
      </c>
      <c r="H52" s="366">
        <v>263</v>
      </c>
      <c r="I52" s="366">
        <v>0</v>
      </c>
      <c r="J52" s="366">
        <v>0</v>
      </c>
      <c r="K52" s="366">
        <v>0</v>
      </c>
      <c r="L52" s="366">
        <v>86</v>
      </c>
      <c r="M52" s="366">
        <v>410</v>
      </c>
      <c r="N52" s="384">
        <f t="shared" si="19"/>
        <v>760</v>
      </c>
      <c r="O52" s="378">
        <f t="shared" si="18"/>
        <v>37823</v>
      </c>
    </row>
    <row r="53" spans="1:33" s="255" customFormat="1" ht="20.149999999999999" hidden="1" customHeight="1" outlineLevel="1" x14ac:dyDescent="0.55000000000000004">
      <c r="A53" s="261"/>
      <c r="B53" s="545" t="s">
        <v>24</v>
      </c>
      <c r="C53" s="387">
        <v>47657</v>
      </c>
      <c r="D53" s="366">
        <v>840</v>
      </c>
      <c r="E53" s="366">
        <v>88</v>
      </c>
      <c r="F53" s="366">
        <v>0</v>
      </c>
      <c r="G53" s="366">
        <v>2</v>
      </c>
      <c r="H53" s="366">
        <v>1079</v>
      </c>
      <c r="I53" s="366">
        <v>269</v>
      </c>
      <c r="J53" s="366">
        <v>0</v>
      </c>
      <c r="K53" s="366">
        <v>0</v>
      </c>
      <c r="L53" s="366">
        <v>470</v>
      </c>
      <c r="M53" s="366">
        <v>1425</v>
      </c>
      <c r="N53" s="384">
        <f t="shared" si="19"/>
        <v>4173</v>
      </c>
      <c r="O53" s="378">
        <f t="shared" si="18"/>
        <v>51830</v>
      </c>
    </row>
    <row r="54" spans="1:33" s="255" customFormat="1" ht="20.149999999999999" hidden="1" customHeight="1" outlineLevel="1" x14ac:dyDescent="0.55000000000000004">
      <c r="A54" s="261"/>
      <c r="B54" s="545" t="s">
        <v>25</v>
      </c>
      <c r="C54" s="387">
        <v>73808</v>
      </c>
      <c r="D54" s="366">
        <v>460</v>
      </c>
      <c r="E54" s="366">
        <v>259</v>
      </c>
      <c r="F54" s="366">
        <v>0</v>
      </c>
      <c r="G54" s="366">
        <v>27</v>
      </c>
      <c r="H54" s="366">
        <v>898</v>
      </c>
      <c r="I54" s="366">
        <v>148</v>
      </c>
      <c r="J54" s="366">
        <v>85</v>
      </c>
      <c r="K54" s="366">
        <v>0</v>
      </c>
      <c r="L54" s="366">
        <v>310</v>
      </c>
      <c r="M54" s="366">
        <v>3040</v>
      </c>
      <c r="N54" s="384">
        <f t="shared" si="19"/>
        <v>5227</v>
      </c>
      <c r="O54" s="378">
        <f t="shared" si="18"/>
        <v>79035</v>
      </c>
    </row>
    <row r="55" spans="1:33" s="255" customFormat="1" ht="20.149999999999999" hidden="1" customHeight="1" outlineLevel="1" x14ac:dyDescent="0.55000000000000004">
      <c r="A55" s="261"/>
      <c r="B55" s="545" t="s">
        <v>26</v>
      </c>
      <c r="C55" s="387">
        <v>111752</v>
      </c>
      <c r="D55" s="366">
        <v>22931</v>
      </c>
      <c r="E55" s="366">
        <v>4375</v>
      </c>
      <c r="F55" s="366">
        <v>1</v>
      </c>
      <c r="G55" s="366">
        <v>10</v>
      </c>
      <c r="H55" s="366">
        <v>6534</v>
      </c>
      <c r="I55" s="366">
        <v>967</v>
      </c>
      <c r="J55" s="366">
        <v>681</v>
      </c>
      <c r="K55" s="366">
        <v>0</v>
      </c>
      <c r="L55" s="366">
        <v>837</v>
      </c>
      <c r="M55" s="366">
        <v>10836</v>
      </c>
      <c r="N55" s="384">
        <f t="shared" si="19"/>
        <v>47172</v>
      </c>
      <c r="O55" s="378">
        <f t="shared" si="18"/>
        <v>158924</v>
      </c>
    </row>
    <row r="56" spans="1:33" s="255" customFormat="1" ht="20.149999999999999" customHeight="1" collapsed="1" x14ac:dyDescent="0.55000000000000004">
      <c r="A56" s="21"/>
      <c r="B56" s="354" t="s">
        <v>1</v>
      </c>
      <c r="C56" s="355">
        <v>520461</v>
      </c>
      <c r="D56" s="356">
        <v>46595</v>
      </c>
      <c r="E56" s="356">
        <v>9381</v>
      </c>
      <c r="F56" s="356">
        <v>41</v>
      </c>
      <c r="G56" s="356">
        <v>238</v>
      </c>
      <c r="H56" s="356">
        <v>26419</v>
      </c>
      <c r="I56" s="356">
        <v>4984</v>
      </c>
      <c r="J56" s="356">
        <v>3299</v>
      </c>
      <c r="K56" s="356">
        <v>16</v>
      </c>
      <c r="L56" s="356">
        <v>4217</v>
      </c>
      <c r="M56" s="356">
        <v>26569</v>
      </c>
      <c r="N56" s="385">
        <f t="shared" si="15"/>
        <v>121759</v>
      </c>
      <c r="O56" s="379">
        <f t="shared" si="16"/>
        <v>642220</v>
      </c>
      <c r="P56" s="253"/>
      <c r="Q56" s="40"/>
      <c r="R56" s="40"/>
      <c r="S56" s="40"/>
      <c r="T56" s="40"/>
      <c r="U56" s="40"/>
      <c r="V56" s="40"/>
      <c r="W56" s="40"/>
      <c r="X56" s="40"/>
      <c r="Y56" s="40"/>
      <c r="Z56" s="40"/>
      <c r="AA56" s="40"/>
      <c r="AB56" s="40"/>
      <c r="AC56" s="40"/>
      <c r="AD56" s="40"/>
      <c r="AE56" s="40"/>
      <c r="AF56" s="40"/>
      <c r="AG56" s="40"/>
    </row>
    <row r="57" spans="1:33" ht="20.149999999999999" customHeight="1" x14ac:dyDescent="0.3">
      <c r="A57" s="2"/>
      <c r="B57" s="548" t="s">
        <v>1101</v>
      </c>
      <c r="C57" s="543"/>
      <c r="D57" s="543"/>
      <c r="E57" s="543"/>
      <c r="F57" s="543"/>
      <c r="G57" s="543"/>
      <c r="H57" s="543"/>
      <c r="I57" s="543"/>
      <c r="J57" s="543"/>
      <c r="K57" s="543"/>
      <c r="L57" s="543"/>
      <c r="M57" s="543"/>
      <c r="N57" s="543"/>
      <c r="O57" s="543"/>
    </row>
    <row r="58" spans="1:33" s="255" customFormat="1" ht="20.149999999999999" hidden="1" customHeight="1" outlineLevel="1" x14ac:dyDescent="0.55000000000000004">
      <c r="A58" s="34"/>
      <c r="B58" s="544" t="s">
        <v>18</v>
      </c>
      <c r="C58" s="355">
        <v>43478</v>
      </c>
      <c r="D58" s="356">
        <v>3</v>
      </c>
      <c r="E58" s="356">
        <v>3</v>
      </c>
      <c r="F58" s="356">
        <v>0</v>
      </c>
      <c r="G58" s="356">
        <v>0</v>
      </c>
      <c r="H58" s="356">
        <v>173</v>
      </c>
      <c r="I58" s="356">
        <v>0</v>
      </c>
      <c r="J58" s="356">
        <v>5</v>
      </c>
      <c r="K58" s="356">
        <v>0</v>
      </c>
      <c r="L58" s="356">
        <v>660</v>
      </c>
      <c r="M58" s="356">
        <v>380</v>
      </c>
      <c r="N58" s="385">
        <f t="shared" ref="N58" si="20">SUM(D58:M58)</f>
        <v>1224</v>
      </c>
      <c r="O58" s="379">
        <f t="shared" ref="O58:O66" si="21">N58+C58</f>
        <v>44702</v>
      </c>
    </row>
    <row r="59" spans="1:33" s="255" customFormat="1" ht="20.149999999999999" hidden="1" customHeight="1" outlineLevel="1" x14ac:dyDescent="0.55000000000000004">
      <c r="A59" s="34"/>
      <c r="B59" s="545" t="s">
        <v>19</v>
      </c>
      <c r="C59" s="355">
        <v>34624</v>
      </c>
      <c r="D59" s="356">
        <v>0</v>
      </c>
      <c r="E59" s="356">
        <v>0</v>
      </c>
      <c r="F59" s="356">
        <v>0</v>
      </c>
      <c r="G59" s="356">
        <v>27</v>
      </c>
      <c r="H59" s="356">
        <v>633</v>
      </c>
      <c r="I59" s="356">
        <v>0</v>
      </c>
      <c r="J59" s="356">
        <v>12</v>
      </c>
      <c r="K59" s="356">
        <v>16</v>
      </c>
      <c r="L59" s="356">
        <v>334</v>
      </c>
      <c r="M59" s="356">
        <v>698</v>
      </c>
      <c r="N59" s="385">
        <f t="shared" ref="N59:N66" si="22">SUM(D59:M59)</f>
        <v>1720</v>
      </c>
      <c r="O59" s="379">
        <f t="shared" si="21"/>
        <v>36344</v>
      </c>
    </row>
    <row r="60" spans="1:33" s="255" customFormat="1" ht="20.149999999999999" hidden="1" customHeight="1" outlineLevel="1" x14ac:dyDescent="0.55000000000000004">
      <c r="A60" s="261"/>
      <c r="B60" s="545" t="s">
        <v>20</v>
      </c>
      <c r="C60" s="355">
        <v>29196</v>
      </c>
      <c r="D60" s="356">
        <v>0</v>
      </c>
      <c r="E60" s="356">
        <v>0</v>
      </c>
      <c r="F60" s="356">
        <v>0</v>
      </c>
      <c r="G60" s="356">
        <v>0</v>
      </c>
      <c r="H60" s="356">
        <v>86</v>
      </c>
      <c r="I60" s="356">
        <v>40</v>
      </c>
      <c r="J60" s="356">
        <v>0</v>
      </c>
      <c r="K60" s="356">
        <v>0</v>
      </c>
      <c r="L60" s="356">
        <v>250</v>
      </c>
      <c r="M60" s="356">
        <v>279</v>
      </c>
      <c r="N60" s="385">
        <f t="shared" si="22"/>
        <v>655</v>
      </c>
      <c r="O60" s="379">
        <f t="shared" si="21"/>
        <v>29851</v>
      </c>
    </row>
    <row r="61" spans="1:33" s="255" customFormat="1" ht="20.149999999999999" hidden="1" customHeight="1" outlineLevel="1" x14ac:dyDescent="0.55000000000000004">
      <c r="A61" s="261"/>
      <c r="B61" s="545" t="s">
        <v>21</v>
      </c>
      <c r="C61" s="355">
        <v>32180</v>
      </c>
      <c r="D61" s="356">
        <v>0</v>
      </c>
      <c r="E61" s="356">
        <v>1</v>
      </c>
      <c r="F61" s="356">
        <v>1</v>
      </c>
      <c r="G61" s="356">
        <v>0</v>
      </c>
      <c r="H61" s="356">
        <v>272</v>
      </c>
      <c r="I61" s="356">
        <v>18</v>
      </c>
      <c r="J61" s="356">
        <v>0</v>
      </c>
      <c r="K61" s="356">
        <v>0</v>
      </c>
      <c r="L61" s="356">
        <v>104</v>
      </c>
      <c r="M61" s="356">
        <v>326</v>
      </c>
      <c r="N61" s="385">
        <f t="shared" si="22"/>
        <v>722</v>
      </c>
      <c r="O61" s="379">
        <f t="shared" si="21"/>
        <v>32902</v>
      </c>
    </row>
    <row r="62" spans="1:33" s="255" customFormat="1" ht="20.149999999999999" hidden="1" customHeight="1" outlineLevel="1" x14ac:dyDescent="0.55000000000000004">
      <c r="A62" s="261"/>
      <c r="B62" s="545" t="s">
        <v>22</v>
      </c>
      <c r="C62" s="355">
        <v>109990</v>
      </c>
      <c r="D62" s="356">
        <v>22294</v>
      </c>
      <c r="E62" s="356">
        <v>4622</v>
      </c>
      <c r="F62" s="356">
        <v>39</v>
      </c>
      <c r="G62" s="356">
        <v>149</v>
      </c>
      <c r="H62" s="356">
        <v>16410</v>
      </c>
      <c r="I62" s="356">
        <v>3359</v>
      </c>
      <c r="J62" s="356">
        <v>2516</v>
      </c>
      <c r="K62" s="356">
        <v>0</v>
      </c>
      <c r="L62" s="356">
        <v>1168</v>
      </c>
      <c r="M62" s="356">
        <v>9223</v>
      </c>
      <c r="N62" s="385">
        <f t="shared" si="22"/>
        <v>59780</v>
      </c>
      <c r="O62" s="379">
        <f t="shared" si="21"/>
        <v>169770</v>
      </c>
    </row>
    <row r="63" spans="1:33" s="255" customFormat="1" ht="20.149999999999999" hidden="1" customHeight="1" outlineLevel="1" x14ac:dyDescent="0.55000000000000004">
      <c r="A63" s="261"/>
      <c r="B63" s="545" t="s">
        <v>23</v>
      </c>
      <c r="C63" s="355">
        <v>37212</v>
      </c>
      <c r="D63" s="356">
        <v>0</v>
      </c>
      <c r="E63" s="356">
        <v>1</v>
      </c>
      <c r="F63" s="356">
        <v>0</v>
      </c>
      <c r="G63" s="356">
        <v>0</v>
      </c>
      <c r="H63" s="356">
        <v>248</v>
      </c>
      <c r="I63" s="356">
        <v>0</v>
      </c>
      <c r="J63" s="356">
        <v>0</v>
      </c>
      <c r="K63" s="356">
        <v>0</v>
      </c>
      <c r="L63" s="356">
        <v>86</v>
      </c>
      <c r="M63" s="356">
        <v>388</v>
      </c>
      <c r="N63" s="385">
        <f t="shared" si="22"/>
        <v>723</v>
      </c>
      <c r="O63" s="379">
        <f t="shared" si="21"/>
        <v>37935</v>
      </c>
    </row>
    <row r="64" spans="1:33" s="255" customFormat="1" ht="20.149999999999999" hidden="1" customHeight="1" outlineLevel="1" x14ac:dyDescent="0.55000000000000004">
      <c r="A64" s="261"/>
      <c r="B64" s="545" t="s">
        <v>24</v>
      </c>
      <c r="C64" s="355">
        <v>47655</v>
      </c>
      <c r="D64" s="356">
        <v>860</v>
      </c>
      <c r="E64" s="356">
        <v>91</v>
      </c>
      <c r="F64" s="356">
        <v>0</v>
      </c>
      <c r="G64" s="356">
        <v>24</v>
      </c>
      <c r="H64" s="356">
        <v>1206</v>
      </c>
      <c r="I64" s="356">
        <v>410</v>
      </c>
      <c r="J64" s="356">
        <v>0</v>
      </c>
      <c r="K64" s="356">
        <v>0</v>
      </c>
      <c r="L64" s="356">
        <v>468</v>
      </c>
      <c r="M64" s="356">
        <v>1417</v>
      </c>
      <c r="N64" s="385">
        <f t="shared" si="22"/>
        <v>4476</v>
      </c>
      <c r="O64" s="379">
        <f t="shared" si="21"/>
        <v>52131</v>
      </c>
    </row>
    <row r="65" spans="1:33" s="255" customFormat="1" ht="20.149999999999999" hidden="1" customHeight="1" outlineLevel="1" x14ac:dyDescent="0.55000000000000004">
      <c r="A65" s="261"/>
      <c r="B65" s="545" t="s">
        <v>25</v>
      </c>
      <c r="C65" s="355">
        <v>73557</v>
      </c>
      <c r="D65" s="356">
        <v>472</v>
      </c>
      <c r="E65" s="356">
        <v>261</v>
      </c>
      <c r="F65" s="356">
        <v>0</v>
      </c>
      <c r="G65" s="356">
        <v>27</v>
      </c>
      <c r="H65" s="356">
        <v>895</v>
      </c>
      <c r="I65" s="356">
        <v>189</v>
      </c>
      <c r="J65" s="356">
        <v>85</v>
      </c>
      <c r="K65" s="356">
        <v>0</v>
      </c>
      <c r="L65" s="356">
        <v>309</v>
      </c>
      <c r="M65" s="356">
        <v>3065</v>
      </c>
      <c r="N65" s="385">
        <f t="shared" si="22"/>
        <v>5303</v>
      </c>
      <c r="O65" s="379">
        <f t="shared" si="21"/>
        <v>78860</v>
      </c>
    </row>
    <row r="66" spans="1:33" s="255" customFormat="1" ht="20.149999999999999" hidden="1" customHeight="1" outlineLevel="1" x14ac:dyDescent="0.55000000000000004">
      <c r="A66" s="261"/>
      <c r="B66" s="545" t="s">
        <v>26</v>
      </c>
      <c r="C66" s="355">
        <v>112569</v>
      </c>
      <c r="D66" s="356">
        <v>22966</v>
      </c>
      <c r="E66" s="356">
        <v>4402</v>
      </c>
      <c r="F66" s="356">
        <v>1</v>
      </c>
      <c r="G66" s="356">
        <v>11</v>
      </c>
      <c r="H66" s="356">
        <v>6496</v>
      </c>
      <c r="I66" s="356">
        <v>968</v>
      </c>
      <c r="J66" s="356">
        <v>681</v>
      </c>
      <c r="K66" s="356">
        <v>0</v>
      </c>
      <c r="L66" s="356">
        <v>838</v>
      </c>
      <c r="M66" s="356">
        <v>10793</v>
      </c>
      <c r="N66" s="385">
        <f t="shared" si="22"/>
        <v>47156</v>
      </c>
      <c r="O66" s="379">
        <f t="shared" si="21"/>
        <v>159725</v>
      </c>
    </row>
    <row r="67" spans="1:33" s="255" customFormat="1" ht="20.149999999999999" customHeight="1" collapsed="1" x14ac:dyDescent="0.55000000000000004">
      <c r="A67" s="21"/>
      <c r="B67" s="354" t="s">
        <v>127</v>
      </c>
      <c r="C67" s="355">
        <v>519942</v>
      </c>
      <c r="D67" s="356">
        <v>46677</v>
      </c>
      <c r="E67" s="356">
        <v>9413</v>
      </c>
      <c r="F67" s="356">
        <v>41</v>
      </c>
      <c r="G67" s="356">
        <v>238</v>
      </c>
      <c r="H67" s="356">
        <v>26451</v>
      </c>
      <c r="I67" s="356">
        <v>4993</v>
      </c>
      <c r="J67" s="356">
        <v>3301</v>
      </c>
      <c r="K67" s="356">
        <v>16</v>
      </c>
      <c r="L67" s="356">
        <v>4146</v>
      </c>
      <c r="M67" s="356">
        <v>26402</v>
      </c>
      <c r="N67" s="385">
        <f t="shared" si="15"/>
        <v>121678</v>
      </c>
      <c r="O67" s="379">
        <f t="shared" si="16"/>
        <v>641620</v>
      </c>
      <c r="P67" s="253"/>
      <c r="Q67" s="40"/>
      <c r="R67" s="40"/>
      <c r="S67" s="40"/>
      <c r="T67" s="40"/>
      <c r="U67" s="40"/>
      <c r="V67" s="40"/>
      <c r="W67" s="40"/>
      <c r="X67" s="40"/>
      <c r="Y67" s="40"/>
      <c r="Z67" s="40"/>
      <c r="AA67" s="40"/>
      <c r="AB67" s="40"/>
      <c r="AC67" s="40"/>
      <c r="AD67" s="40"/>
      <c r="AE67" s="40"/>
      <c r="AF67" s="40"/>
      <c r="AG67" s="40"/>
    </row>
    <row r="68" spans="1:33" ht="20.149999999999999" customHeight="1" x14ac:dyDescent="0.3">
      <c r="A68" s="2"/>
      <c r="B68" s="548" t="s">
        <v>1101</v>
      </c>
      <c r="C68" s="543"/>
      <c r="D68" s="543"/>
      <c r="E68" s="543"/>
      <c r="F68" s="543"/>
      <c r="G68" s="543"/>
      <c r="H68" s="543"/>
      <c r="I68" s="543"/>
      <c r="J68" s="543"/>
      <c r="K68" s="543"/>
      <c r="L68" s="543"/>
      <c r="M68" s="543"/>
      <c r="N68" s="543"/>
      <c r="O68" s="543"/>
    </row>
    <row r="69" spans="1:33" s="255" customFormat="1" ht="20.149999999999999" hidden="1" customHeight="1" outlineLevel="1" x14ac:dyDescent="0.55000000000000004">
      <c r="A69" s="34"/>
      <c r="B69" s="544" t="s">
        <v>18</v>
      </c>
      <c r="C69" s="360">
        <v>43442</v>
      </c>
      <c r="D69" s="361">
        <v>3</v>
      </c>
      <c r="E69" s="361">
        <v>3</v>
      </c>
      <c r="F69" s="361">
        <v>0</v>
      </c>
      <c r="G69" s="361">
        <v>0</v>
      </c>
      <c r="H69" s="361">
        <v>171</v>
      </c>
      <c r="I69" s="361">
        <v>0</v>
      </c>
      <c r="J69" s="361">
        <v>5</v>
      </c>
      <c r="K69" s="361">
        <v>0</v>
      </c>
      <c r="L69" s="361">
        <v>662</v>
      </c>
      <c r="M69" s="361">
        <v>371</v>
      </c>
      <c r="N69" s="391">
        <f t="shared" ref="N69" si="23">SUM(D69:M69)</f>
        <v>1215</v>
      </c>
      <c r="O69" s="382">
        <f t="shared" ref="O69:O77" si="24">N69+C69</f>
        <v>44657</v>
      </c>
    </row>
    <row r="70" spans="1:33" s="255" customFormat="1" ht="20.149999999999999" hidden="1" customHeight="1" outlineLevel="1" x14ac:dyDescent="0.55000000000000004">
      <c r="A70" s="34"/>
      <c r="B70" s="545" t="s">
        <v>19</v>
      </c>
      <c r="C70" s="360">
        <v>34583</v>
      </c>
      <c r="D70" s="361">
        <v>0</v>
      </c>
      <c r="E70" s="361">
        <v>0</v>
      </c>
      <c r="F70" s="361">
        <v>0</v>
      </c>
      <c r="G70" s="361">
        <v>27</v>
      </c>
      <c r="H70" s="361">
        <v>648</v>
      </c>
      <c r="I70" s="361">
        <v>0</v>
      </c>
      <c r="J70" s="361">
        <v>12</v>
      </c>
      <c r="K70" s="361">
        <v>16</v>
      </c>
      <c r="L70" s="361">
        <v>332</v>
      </c>
      <c r="M70" s="361">
        <v>690</v>
      </c>
      <c r="N70" s="391">
        <f t="shared" ref="N70:N77" si="25">SUM(D70:M70)</f>
        <v>1725</v>
      </c>
      <c r="O70" s="382">
        <f t="shared" si="24"/>
        <v>36308</v>
      </c>
    </row>
    <row r="71" spans="1:33" s="255" customFormat="1" ht="20.149999999999999" hidden="1" customHeight="1" outlineLevel="1" x14ac:dyDescent="0.55000000000000004">
      <c r="A71" s="261"/>
      <c r="B71" s="545" t="s">
        <v>20</v>
      </c>
      <c r="C71" s="388">
        <v>29328</v>
      </c>
      <c r="D71" s="369">
        <v>0</v>
      </c>
      <c r="E71" s="369">
        <v>0</v>
      </c>
      <c r="F71" s="369">
        <v>0</v>
      </c>
      <c r="G71" s="369">
        <v>0</v>
      </c>
      <c r="H71" s="369">
        <v>86</v>
      </c>
      <c r="I71" s="389">
        <v>41</v>
      </c>
      <c r="J71" s="369">
        <v>0</v>
      </c>
      <c r="K71" s="369">
        <v>0</v>
      </c>
      <c r="L71" s="389">
        <v>250</v>
      </c>
      <c r="M71" s="389">
        <v>276</v>
      </c>
      <c r="N71" s="391">
        <f t="shared" si="25"/>
        <v>653</v>
      </c>
      <c r="O71" s="382">
        <f t="shared" si="24"/>
        <v>29981</v>
      </c>
    </row>
    <row r="72" spans="1:33" s="255" customFormat="1" ht="20.149999999999999" hidden="1" customHeight="1" outlineLevel="1" x14ac:dyDescent="0.55000000000000004">
      <c r="A72" s="261"/>
      <c r="B72" s="545" t="s">
        <v>21</v>
      </c>
      <c r="C72" s="360">
        <v>32189</v>
      </c>
      <c r="D72" s="361">
        <v>0</v>
      </c>
      <c r="E72" s="361">
        <v>1</v>
      </c>
      <c r="F72" s="361">
        <v>1</v>
      </c>
      <c r="G72" s="361">
        <v>0</v>
      </c>
      <c r="H72" s="361">
        <v>273</v>
      </c>
      <c r="I72" s="361">
        <v>18</v>
      </c>
      <c r="J72" s="361">
        <v>0</v>
      </c>
      <c r="K72" s="361">
        <v>0</v>
      </c>
      <c r="L72" s="361">
        <v>101</v>
      </c>
      <c r="M72" s="361">
        <v>325</v>
      </c>
      <c r="N72" s="391">
        <f t="shared" si="25"/>
        <v>719</v>
      </c>
      <c r="O72" s="382">
        <f t="shared" si="24"/>
        <v>32908</v>
      </c>
    </row>
    <row r="73" spans="1:33" s="255" customFormat="1" ht="20.149999999999999" hidden="1" customHeight="1" outlineLevel="1" x14ac:dyDescent="0.55000000000000004">
      <c r="A73" s="261"/>
      <c r="B73" s="545" t="s">
        <v>22</v>
      </c>
      <c r="C73" s="360">
        <v>109083</v>
      </c>
      <c r="D73" s="361">
        <v>22350</v>
      </c>
      <c r="E73" s="361">
        <v>4643</v>
      </c>
      <c r="F73" s="361">
        <v>39</v>
      </c>
      <c r="G73" s="361">
        <v>149</v>
      </c>
      <c r="H73" s="361">
        <v>16452</v>
      </c>
      <c r="I73" s="361">
        <v>3371</v>
      </c>
      <c r="J73" s="361">
        <v>2518</v>
      </c>
      <c r="K73" s="361">
        <v>0</v>
      </c>
      <c r="L73" s="361">
        <v>1169</v>
      </c>
      <c r="M73" s="361">
        <v>9129</v>
      </c>
      <c r="N73" s="391">
        <f t="shared" si="25"/>
        <v>59820</v>
      </c>
      <c r="O73" s="382">
        <f t="shared" si="24"/>
        <v>168903</v>
      </c>
    </row>
    <row r="74" spans="1:33" s="255" customFormat="1" ht="20.149999999999999" hidden="1" customHeight="1" outlineLevel="1" x14ac:dyDescent="0.55000000000000004">
      <c r="A74" s="261"/>
      <c r="B74" s="545" t="s">
        <v>23</v>
      </c>
      <c r="C74" s="360">
        <v>37260</v>
      </c>
      <c r="D74" s="361">
        <v>0</v>
      </c>
      <c r="E74" s="361">
        <v>1</v>
      </c>
      <c r="F74" s="361">
        <v>0</v>
      </c>
      <c r="G74" s="361">
        <v>0</v>
      </c>
      <c r="H74" s="361">
        <v>249</v>
      </c>
      <c r="I74" s="361">
        <v>0</v>
      </c>
      <c r="J74" s="361">
        <v>0</v>
      </c>
      <c r="K74" s="361">
        <v>0</v>
      </c>
      <c r="L74" s="361">
        <v>83</v>
      </c>
      <c r="M74" s="361">
        <v>385</v>
      </c>
      <c r="N74" s="391">
        <f t="shared" si="25"/>
        <v>718</v>
      </c>
      <c r="O74" s="382">
        <f t="shared" si="24"/>
        <v>37978</v>
      </c>
    </row>
    <row r="75" spans="1:33" s="255" customFormat="1" ht="20.149999999999999" hidden="1" customHeight="1" outlineLevel="1" x14ac:dyDescent="0.55000000000000004">
      <c r="A75" s="261"/>
      <c r="B75" s="545" t="s">
        <v>24</v>
      </c>
      <c r="C75" s="360">
        <v>47632</v>
      </c>
      <c r="D75" s="361">
        <v>863</v>
      </c>
      <c r="E75" s="361">
        <v>91</v>
      </c>
      <c r="F75" s="361">
        <v>0</v>
      </c>
      <c r="G75" s="361">
        <v>24</v>
      </c>
      <c r="H75" s="361">
        <v>1197</v>
      </c>
      <c r="I75" s="361">
        <v>406</v>
      </c>
      <c r="J75" s="361">
        <v>0</v>
      </c>
      <c r="K75" s="361">
        <v>0</v>
      </c>
      <c r="L75" s="361">
        <v>405</v>
      </c>
      <c r="M75" s="361">
        <v>1437</v>
      </c>
      <c r="N75" s="391">
        <f t="shared" si="25"/>
        <v>4423</v>
      </c>
      <c r="O75" s="382">
        <f t="shared" si="24"/>
        <v>52055</v>
      </c>
    </row>
    <row r="76" spans="1:33" s="255" customFormat="1" ht="20.149999999999999" hidden="1" customHeight="1" outlineLevel="1" x14ac:dyDescent="0.55000000000000004">
      <c r="A76" s="261"/>
      <c r="B76" s="545" t="s">
        <v>25</v>
      </c>
      <c r="C76" s="360">
        <v>73377</v>
      </c>
      <c r="D76" s="361">
        <v>472</v>
      </c>
      <c r="E76" s="361">
        <v>262</v>
      </c>
      <c r="F76" s="361">
        <v>0</v>
      </c>
      <c r="G76" s="361">
        <v>27</v>
      </c>
      <c r="H76" s="361">
        <v>895</v>
      </c>
      <c r="I76" s="361">
        <v>184</v>
      </c>
      <c r="J76" s="361">
        <v>85</v>
      </c>
      <c r="K76" s="361">
        <v>0</v>
      </c>
      <c r="L76" s="361">
        <v>309</v>
      </c>
      <c r="M76" s="361">
        <v>3067</v>
      </c>
      <c r="N76" s="391">
        <f t="shared" si="25"/>
        <v>5301</v>
      </c>
      <c r="O76" s="382">
        <f t="shared" si="24"/>
        <v>78678</v>
      </c>
    </row>
    <row r="77" spans="1:33" s="255" customFormat="1" ht="20.149999999999999" hidden="1" customHeight="1" outlineLevel="1" x14ac:dyDescent="0.55000000000000004">
      <c r="A77" s="261"/>
      <c r="B77" s="545" t="s">
        <v>26</v>
      </c>
      <c r="C77" s="360">
        <v>111350</v>
      </c>
      <c r="D77" s="361">
        <v>22989</v>
      </c>
      <c r="E77" s="361">
        <v>4412</v>
      </c>
      <c r="F77" s="361">
        <v>1</v>
      </c>
      <c r="G77" s="361">
        <v>11</v>
      </c>
      <c r="H77" s="361">
        <v>6480</v>
      </c>
      <c r="I77" s="361">
        <v>973</v>
      </c>
      <c r="J77" s="361">
        <v>681</v>
      </c>
      <c r="K77" s="361">
        <v>0</v>
      </c>
      <c r="L77" s="361">
        <v>825</v>
      </c>
      <c r="M77" s="361">
        <v>10722</v>
      </c>
      <c r="N77" s="391">
        <f t="shared" si="25"/>
        <v>47094</v>
      </c>
      <c r="O77" s="382">
        <f t="shared" si="24"/>
        <v>158444</v>
      </c>
    </row>
    <row r="78" spans="1:33" s="255" customFormat="1" ht="20.149999999999999" customHeight="1" collapsed="1" x14ac:dyDescent="0.55000000000000004">
      <c r="A78" s="21"/>
      <c r="B78" s="354" t="s">
        <v>40</v>
      </c>
      <c r="C78" s="355">
        <v>518844</v>
      </c>
      <c r="D78" s="356">
        <v>46839</v>
      </c>
      <c r="E78" s="356">
        <v>9436</v>
      </c>
      <c r="F78" s="356">
        <v>41</v>
      </c>
      <c r="G78" s="356">
        <v>238</v>
      </c>
      <c r="H78" s="356">
        <v>26341</v>
      </c>
      <c r="I78" s="356">
        <v>5014</v>
      </c>
      <c r="J78" s="356">
        <v>3303</v>
      </c>
      <c r="K78" s="356">
        <v>16</v>
      </c>
      <c r="L78" s="356">
        <v>4147</v>
      </c>
      <c r="M78" s="356">
        <v>26332</v>
      </c>
      <c r="N78" s="385">
        <f t="shared" si="15"/>
        <v>121707</v>
      </c>
      <c r="O78" s="379">
        <f t="shared" si="16"/>
        <v>640551</v>
      </c>
      <c r="P78" s="253"/>
      <c r="Q78" s="40"/>
      <c r="R78" s="40"/>
      <c r="S78" s="40"/>
      <c r="T78" s="40"/>
      <c r="U78" s="40"/>
      <c r="V78" s="40"/>
      <c r="W78" s="40"/>
      <c r="X78" s="40"/>
      <c r="Y78" s="40"/>
      <c r="Z78" s="40"/>
      <c r="AA78" s="40"/>
      <c r="AB78" s="40"/>
      <c r="AC78" s="40"/>
      <c r="AD78" s="40"/>
      <c r="AE78" s="40"/>
      <c r="AF78" s="40"/>
      <c r="AG78" s="40"/>
    </row>
    <row r="79" spans="1:33" s="255" customFormat="1" ht="20.149999999999999" customHeight="1" x14ac:dyDescent="0.55000000000000004">
      <c r="A79" s="21"/>
      <c r="B79" s="371" t="s">
        <v>3</v>
      </c>
      <c r="C79" s="360">
        <v>571598</v>
      </c>
      <c r="D79" s="361">
        <v>47300</v>
      </c>
      <c r="E79" s="361">
        <v>9563</v>
      </c>
      <c r="F79" s="361">
        <v>40</v>
      </c>
      <c r="G79" s="361">
        <v>240</v>
      </c>
      <c r="H79" s="361">
        <v>26196</v>
      </c>
      <c r="I79" s="361">
        <v>5039</v>
      </c>
      <c r="J79" s="361">
        <v>3300</v>
      </c>
      <c r="K79" s="361">
        <v>37</v>
      </c>
      <c r="L79" s="361">
        <v>4139</v>
      </c>
      <c r="M79" s="361">
        <v>25848</v>
      </c>
      <c r="N79" s="391">
        <f t="shared" si="15"/>
        <v>121702</v>
      </c>
      <c r="O79" s="382">
        <f t="shared" si="16"/>
        <v>693300</v>
      </c>
      <c r="P79" s="253"/>
    </row>
  </sheetData>
  <sortState ref="B66:O68">
    <sortCondition descending="1" ref="B66"/>
  </sortState>
  <customSheetViews>
    <customSheetView guid="{501209ED-4B79-4E52-B95E-748E5E77E24F}" scale="85" hiddenRows="1">
      <pane xSplit="2" ySplit="10" topLeftCell="C11" activePane="bottomRight" state="frozen"/>
      <selection pane="bottomRight" activeCell="C14" sqref="C14:M22"/>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1">
    <mergeCell ref="J10:M10"/>
  </mergeCells>
  <phoneticPr fontId="1"/>
  <conditionalFormatting sqref="C34:M34 C45:M45 C56:M56 C67:M67 C78:M79">
    <cfRule type="containsBlanks" dxfId="351" priority="46">
      <formula>LEN(TRIM(C34))=0</formula>
    </cfRule>
  </conditionalFormatting>
  <conditionalFormatting sqref="C36:M36">
    <cfRule type="containsBlanks" dxfId="350" priority="43">
      <formula>LEN(TRIM(C36))=0</formula>
    </cfRule>
  </conditionalFormatting>
  <conditionalFormatting sqref="C37:M37">
    <cfRule type="containsBlanks" dxfId="349" priority="42">
      <formula>LEN(TRIM(C37))=0</formula>
    </cfRule>
  </conditionalFormatting>
  <conditionalFormatting sqref="C38:M38">
    <cfRule type="containsBlanks" dxfId="348" priority="41">
      <formula>LEN(TRIM(C38))=0</formula>
    </cfRule>
  </conditionalFormatting>
  <conditionalFormatting sqref="C39:M39">
    <cfRule type="containsBlanks" dxfId="347" priority="40">
      <formula>LEN(TRIM(C39))=0</formula>
    </cfRule>
  </conditionalFormatting>
  <conditionalFormatting sqref="C40:M40">
    <cfRule type="containsBlanks" dxfId="346" priority="39">
      <formula>LEN(TRIM(C40))=0</formula>
    </cfRule>
  </conditionalFormatting>
  <conditionalFormatting sqref="C41:M41">
    <cfRule type="containsBlanks" dxfId="345" priority="38">
      <formula>LEN(TRIM(C41))=0</formula>
    </cfRule>
  </conditionalFormatting>
  <conditionalFormatting sqref="C42:M42">
    <cfRule type="containsBlanks" dxfId="344" priority="37">
      <formula>LEN(TRIM(C42))=0</formula>
    </cfRule>
  </conditionalFormatting>
  <conditionalFormatting sqref="C43:M43">
    <cfRule type="containsBlanks" dxfId="343" priority="36">
      <formula>LEN(TRIM(C43))=0</formula>
    </cfRule>
  </conditionalFormatting>
  <conditionalFormatting sqref="C44:M44">
    <cfRule type="containsBlanks" dxfId="342" priority="35">
      <formula>LEN(TRIM(C44))=0</formula>
    </cfRule>
  </conditionalFormatting>
  <conditionalFormatting sqref="C47:M47">
    <cfRule type="containsBlanks" dxfId="341" priority="33">
      <formula>LEN(TRIM(C47))=0</formula>
    </cfRule>
  </conditionalFormatting>
  <conditionalFormatting sqref="C48:M48">
    <cfRule type="containsBlanks" dxfId="340" priority="32">
      <formula>LEN(TRIM(C48))=0</formula>
    </cfRule>
  </conditionalFormatting>
  <conditionalFormatting sqref="C49:M49">
    <cfRule type="containsBlanks" dxfId="339" priority="31">
      <formula>LEN(TRIM(C49))=0</formula>
    </cfRule>
  </conditionalFormatting>
  <conditionalFormatting sqref="C50:M50">
    <cfRule type="containsBlanks" dxfId="338" priority="30">
      <formula>LEN(TRIM(C50))=0</formula>
    </cfRule>
  </conditionalFormatting>
  <conditionalFormatting sqref="C51:M51">
    <cfRule type="containsBlanks" dxfId="337" priority="29">
      <formula>LEN(TRIM(C51))=0</formula>
    </cfRule>
  </conditionalFormatting>
  <conditionalFormatting sqref="C52:M52">
    <cfRule type="containsBlanks" dxfId="336" priority="28">
      <formula>LEN(TRIM(C52))=0</formula>
    </cfRule>
  </conditionalFormatting>
  <conditionalFormatting sqref="C53:M53">
    <cfRule type="containsBlanks" dxfId="335" priority="27">
      <formula>LEN(TRIM(C53))=0</formula>
    </cfRule>
  </conditionalFormatting>
  <conditionalFormatting sqref="C54:M54">
    <cfRule type="containsBlanks" dxfId="334" priority="26">
      <formula>LEN(TRIM(C54))=0</formula>
    </cfRule>
  </conditionalFormatting>
  <conditionalFormatting sqref="C55:M55">
    <cfRule type="containsBlanks" dxfId="333" priority="25">
      <formula>LEN(TRIM(C55))=0</formula>
    </cfRule>
  </conditionalFormatting>
  <conditionalFormatting sqref="C58:M58">
    <cfRule type="containsBlanks" dxfId="332" priority="23">
      <formula>LEN(TRIM(C58))=0</formula>
    </cfRule>
  </conditionalFormatting>
  <conditionalFormatting sqref="C59:M59">
    <cfRule type="containsBlanks" dxfId="331" priority="22">
      <formula>LEN(TRIM(C59))=0</formula>
    </cfRule>
  </conditionalFormatting>
  <conditionalFormatting sqref="C60:M60">
    <cfRule type="containsBlanks" dxfId="330" priority="21">
      <formula>LEN(TRIM(C60))=0</formula>
    </cfRule>
  </conditionalFormatting>
  <conditionalFormatting sqref="C61:M61">
    <cfRule type="containsBlanks" dxfId="329" priority="20">
      <formula>LEN(TRIM(C61))=0</formula>
    </cfRule>
  </conditionalFormatting>
  <conditionalFormatting sqref="C62:M62">
    <cfRule type="containsBlanks" dxfId="328" priority="19">
      <formula>LEN(TRIM(C62))=0</formula>
    </cfRule>
  </conditionalFormatting>
  <conditionalFormatting sqref="C63:M63">
    <cfRule type="containsBlanks" dxfId="327" priority="18">
      <formula>LEN(TRIM(C63))=0</formula>
    </cfRule>
  </conditionalFormatting>
  <conditionalFormatting sqref="C64:M64">
    <cfRule type="containsBlanks" dxfId="326" priority="17">
      <formula>LEN(TRIM(C64))=0</formula>
    </cfRule>
  </conditionalFormatting>
  <conditionalFormatting sqref="C65:M65">
    <cfRule type="containsBlanks" dxfId="325" priority="16">
      <formula>LEN(TRIM(C65))=0</formula>
    </cfRule>
  </conditionalFormatting>
  <conditionalFormatting sqref="C66:M66">
    <cfRule type="containsBlanks" dxfId="324" priority="15">
      <formula>LEN(TRIM(C66))=0</formula>
    </cfRule>
  </conditionalFormatting>
  <conditionalFormatting sqref="C69:M69">
    <cfRule type="containsBlanks" dxfId="323" priority="13">
      <formula>LEN(TRIM(C69))=0</formula>
    </cfRule>
  </conditionalFormatting>
  <conditionalFormatting sqref="C70:M70">
    <cfRule type="containsBlanks" dxfId="322" priority="12">
      <formula>LEN(TRIM(C70))=0</formula>
    </cfRule>
  </conditionalFormatting>
  <conditionalFormatting sqref="C71:M71">
    <cfRule type="containsBlanks" dxfId="321" priority="11">
      <formula>LEN(TRIM(C71))=0</formula>
    </cfRule>
  </conditionalFormatting>
  <conditionalFormatting sqref="C72:M72">
    <cfRule type="containsBlanks" dxfId="320" priority="10">
      <formula>LEN(TRIM(C72))=0</formula>
    </cfRule>
  </conditionalFormatting>
  <conditionalFormatting sqref="C73:M73">
    <cfRule type="containsBlanks" dxfId="319" priority="9">
      <formula>LEN(TRIM(C73))=0</formula>
    </cfRule>
  </conditionalFormatting>
  <conditionalFormatting sqref="C74:M74">
    <cfRule type="containsBlanks" dxfId="318" priority="8">
      <formula>LEN(TRIM(C74))=0</formula>
    </cfRule>
  </conditionalFormatting>
  <conditionalFormatting sqref="C75:M75">
    <cfRule type="containsBlanks" dxfId="317" priority="7">
      <formula>LEN(TRIM(C75))=0</formula>
    </cfRule>
  </conditionalFormatting>
  <conditionalFormatting sqref="C76:M76">
    <cfRule type="containsBlanks" dxfId="316" priority="6">
      <formula>LEN(TRIM(C76))=0</formula>
    </cfRule>
  </conditionalFormatting>
  <conditionalFormatting sqref="C77:M77">
    <cfRule type="containsBlanks" dxfId="315" priority="5">
      <formula>LEN(TRIM(C77))=0</formula>
    </cfRule>
  </conditionalFormatting>
  <conditionalFormatting sqref="C23:M23">
    <cfRule type="containsBlanks" dxfId="314" priority="4">
      <formula>LEN(TRIM(C23))=0</formula>
    </cfRule>
  </conditionalFormatting>
  <conditionalFormatting sqref="C12:M12">
    <cfRule type="containsBlanks" dxfId="313" priority="2">
      <formula>LEN(TRIM(C12))=0</formula>
    </cfRule>
  </conditionalFormatting>
  <conditionalFormatting sqref="C14:M22">
    <cfRule type="containsBlanks" dxfId="312" priority="47">
      <formula>LEN(TRIM(C14))=0</formula>
    </cfRule>
  </conditionalFormatting>
  <hyperlinks>
    <hyperlink ref="A1" location="目次!A1" display="目次へ戻る"/>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extLst>
    <ext xmlns:x14="http://schemas.microsoft.com/office/spreadsheetml/2009/9/main" uri="{78C0D931-6437-407d-A8EE-F0AAD7539E65}">
      <x14:conditionalFormattings>
        <x14:conditionalFormatting xmlns:xm="http://schemas.microsoft.com/office/excel/2006/main">
          <x14:cfRule type="containsBlanks" priority="3" id="{11B34364-0E91-4D2B-B626-92942EE2E2C2}">
            <xm:f>LEN(TRIM('\\fs1.kobe.local\sec\201_固定資産税課（指導）\01_課税調整（庶務）\47 各種集計事務（税務統計、神戸市統計書）\税務統計\R5\01_各ライン回答\土地回答\[土地_R5税務統計書（抜粋）.xlsx]3(2)固定資産税（地目別地積の推移（土地））'!#REF!))=0</xm:f>
            <x14:dxf>
              <fill>
                <patternFill>
                  <bgColor rgb="FFFFFF00"/>
                </patternFill>
              </fill>
            </x14:dxf>
          </x14:cfRule>
          <xm:sqref>C25:M33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zoomScale="98" zoomScaleNormal="98" workbookViewId="0">
      <pane xSplit="2" ySplit="10" topLeftCell="E11" activePane="bottomRight" state="frozen"/>
      <selection pane="topRight" activeCell="C1" sqref="C1"/>
      <selection pane="bottomLeft" activeCell="A11" sqref="A11"/>
      <selection pane="bottomRight"/>
    </sheetView>
  </sheetViews>
  <sheetFormatPr defaultColWidth="8.58203125" defaultRowHeight="14.5" outlineLevelRow="1" x14ac:dyDescent="0.35"/>
  <cols>
    <col min="1" max="1" width="6.58203125" style="4" bestFit="1" customWidth="1"/>
    <col min="2" max="2" width="10.33203125" style="1" bestFit="1" customWidth="1"/>
    <col min="3" max="3" width="13.58203125" style="1" customWidth="1"/>
    <col min="4" max="4" width="10.58203125" style="2" customWidth="1"/>
    <col min="5" max="5" width="9.58203125" style="2" customWidth="1"/>
    <col min="6" max="6" width="7.58203125" style="4" customWidth="1"/>
    <col min="7" max="7" width="7.58203125" style="1" customWidth="1"/>
    <col min="8" max="9" width="10.58203125" style="1" customWidth="1"/>
    <col min="10" max="10" width="10.08203125" style="1" bestFit="1" customWidth="1"/>
    <col min="11" max="11" width="9.58203125" style="1" customWidth="1"/>
    <col min="12" max="13" width="11.58203125" style="1" customWidth="1"/>
    <col min="14" max="14" width="11.08203125" style="1" bestFit="1" customWidth="1"/>
    <col min="15" max="15" width="13.58203125" style="1" customWidth="1"/>
    <col min="16" max="16" width="11.33203125" style="1" customWidth="1"/>
    <col min="17" max="31" width="10.83203125" style="1" bestFit="1" customWidth="1"/>
    <col min="32" max="33" width="10.33203125" style="1" bestFit="1" customWidth="1"/>
    <col min="34" max="16384" width="8.58203125" style="1"/>
  </cols>
  <sheetData>
    <row r="1" spans="1:33" x14ac:dyDescent="0.35">
      <c r="A1" s="433" t="s">
        <v>438</v>
      </c>
      <c r="B1" s="433"/>
    </row>
    <row r="3" spans="1:33" s="253" customFormat="1" ht="20.149999999999999" customHeight="1" x14ac:dyDescent="0.55000000000000004">
      <c r="A3" s="252" t="s">
        <v>120</v>
      </c>
    </row>
    <row r="4" spans="1:33" s="253" customFormat="1" ht="20.149999999999999" customHeight="1" x14ac:dyDescent="0.55000000000000004">
      <c r="A4" s="252" t="s">
        <v>152</v>
      </c>
    </row>
    <row r="5" spans="1:33" s="253" customFormat="1" ht="14.5" customHeight="1" x14ac:dyDescent="0.55000000000000004">
      <c r="A5" s="46"/>
    </row>
    <row r="6" spans="1:33" s="253" customFormat="1" ht="14.5" customHeight="1" x14ac:dyDescent="0.55000000000000004">
      <c r="A6" s="17" t="s">
        <v>28</v>
      </c>
      <c r="B6" s="30" t="s">
        <v>1114</v>
      </c>
    </row>
    <row r="7" spans="1:33" s="253" customFormat="1" ht="14.5" customHeight="1" x14ac:dyDescent="0.55000000000000004">
      <c r="B7" s="30" t="s">
        <v>1115</v>
      </c>
    </row>
    <row r="8" spans="1:33" s="253" customFormat="1" ht="14.5" customHeight="1" x14ac:dyDescent="0.55000000000000004">
      <c r="A8" s="21"/>
      <c r="B8" s="30" t="s">
        <v>1116</v>
      </c>
    </row>
    <row r="9" spans="1:33" s="253" customFormat="1" ht="14.5" customHeight="1" x14ac:dyDescent="0.55000000000000004">
      <c r="A9" s="21"/>
      <c r="B9" s="30"/>
    </row>
    <row r="10" spans="1:33" s="255" customFormat="1" ht="17.5" x14ac:dyDescent="0.55000000000000004">
      <c r="A10" s="243" t="s">
        <v>153</v>
      </c>
      <c r="B10" s="327"/>
      <c r="D10" s="40"/>
      <c r="E10" s="40"/>
      <c r="F10" s="40"/>
      <c r="G10" s="40"/>
      <c r="H10" s="40"/>
      <c r="I10" s="40"/>
      <c r="J10" s="677" t="s">
        <v>144</v>
      </c>
      <c r="K10" s="678"/>
      <c r="L10" s="678"/>
      <c r="M10" s="679"/>
      <c r="N10" s="40"/>
      <c r="O10" s="40"/>
      <c r="P10" s="253"/>
      <c r="Q10" s="40"/>
      <c r="R10" s="40"/>
      <c r="S10" s="40"/>
      <c r="T10" s="40"/>
      <c r="U10" s="40"/>
      <c r="V10" s="40"/>
      <c r="W10" s="40"/>
      <c r="X10" s="40"/>
      <c r="Y10" s="40"/>
      <c r="Z10" s="40"/>
      <c r="AA10" s="40"/>
      <c r="AB10" s="40"/>
      <c r="AC10" s="40"/>
      <c r="AD10" s="40"/>
      <c r="AE10" s="40"/>
      <c r="AF10" s="40"/>
      <c r="AG10" s="40"/>
    </row>
    <row r="11" spans="1:33" s="21" customFormat="1" ht="29" x14ac:dyDescent="0.55000000000000004">
      <c r="B11" s="327"/>
      <c r="C11" s="611" t="s">
        <v>139</v>
      </c>
      <c r="D11" s="611" t="s">
        <v>137</v>
      </c>
      <c r="E11" s="611" t="s">
        <v>138</v>
      </c>
      <c r="F11" s="611" t="s">
        <v>140</v>
      </c>
      <c r="G11" s="611" t="s">
        <v>141</v>
      </c>
      <c r="H11" s="611" t="s">
        <v>142</v>
      </c>
      <c r="I11" s="611" t="s">
        <v>143</v>
      </c>
      <c r="J11" s="612" t="s">
        <v>145</v>
      </c>
      <c r="K11" s="612" t="s">
        <v>146</v>
      </c>
      <c r="L11" s="612" t="s">
        <v>147</v>
      </c>
      <c r="M11" s="613" t="s">
        <v>148</v>
      </c>
      <c r="N11" s="383" t="s">
        <v>149</v>
      </c>
      <c r="O11" s="375" t="s">
        <v>113</v>
      </c>
      <c r="P11" s="46"/>
      <c r="Q11" s="45"/>
      <c r="R11" s="45"/>
      <c r="S11" s="45"/>
      <c r="T11" s="45"/>
      <c r="U11" s="45"/>
      <c r="V11" s="45"/>
      <c r="W11" s="45"/>
      <c r="X11" s="45"/>
      <c r="Y11" s="45"/>
      <c r="Z11" s="45"/>
      <c r="AA11" s="45"/>
      <c r="AB11" s="45"/>
      <c r="AC11" s="45"/>
      <c r="AD11" s="45"/>
      <c r="AE11" s="45"/>
      <c r="AF11" s="45"/>
      <c r="AG11" s="45"/>
    </row>
    <row r="12" spans="1:33" s="255" customFormat="1" ht="20.149999999999999" customHeight="1" x14ac:dyDescent="0.55000000000000004">
      <c r="A12" s="21"/>
      <c r="B12" s="354" t="s">
        <v>1127</v>
      </c>
      <c r="C12" s="374">
        <f>SUM(C14:C22)</f>
        <v>8532675176.1169996</v>
      </c>
      <c r="D12" s="374">
        <f t="shared" ref="D12:M12" si="0">SUM(D14:D22)</f>
        <v>15127455.596999999</v>
      </c>
      <c r="E12" s="374">
        <f t="shared" si="0"/>
        <v>4708165.0779999997</v>
      </c>
      <c r="F12" s="374">
        <f t="shared" si="0"/>
        <v>29497.517</v>
      </c>
      <c r="G12" s="374">
        <f t="shared" si="0"/>
        <v>31031.595000000001</v>
      </c>
      <c r="H12" s="374">
        <f t="shared" si="0"/>
        <v>7276084.523</v>
      </c>
      <c r="I12" s="374">
        <f t="shared" si="0"/>
        <v>691043.83799999999</v>
      </c>
      <c r="J12" s="374">
        <f t="shared" si="0"/>
        <v>20031656.672000002</v>
      </c>
      <c r="K12" s="374">
        <f t="shared" si="0"/>
        <v>394021.23499999999</v>
      </c>
      <c r="L12" s="374">
        <f t="shared" si="0"/>
        <v>124520320.721</v>
      </c>
      <c r="M12" s="374">
        <f t="shared" si="0"/>
        <v>131380003.03299999</v>
      </c>
      <c r="N12" s="385">
        <f t="shared" ref="N12" si="1">SUM(D12:M12)</f>
        <v>304189279.80900002</v>
      </c>
      <c r="O12" s="158">
        <f t="shared" ref="O12" si="2">N12+C12</f>
        <v>8836864455.9259987</v>
      </c>
      <c r="P12" s="253"/>
      <c r="Q12" s="40"/>
      <c r="R12" s="40"/>
      <c r="S12" s="40"/>
      <c r="T12" s="40"/>
      <c r="U12" s="40"/>
      <c r="V12" s="40"/>
      <c r="W12" s="40"/>
      <c r="X12" s="40"/>
      <c r="Y12" s="40"/>
      <c r="Z12" s="40"/>
      <c r="AA12" s="40"/>
      <c r="AB12" s="40"/>
      <c r="AC12" s="40"/>
      <c r="AD12" s="40"/>
      <c r="AE12" s="40"/>
      <c r="AF12" s="40"/>
      <c r="AG12" s="40"/>
    </row>
    <row r="13" spans="1:33" ht="20.149999999999999" customHeight="1" x14ac:dyDescent="0.3">
      <c r="A13" s="2"/>
      <c r="B13" s="548" t="s">
        <v>1101</v>
      </c>
      <c r="C13" s="543"/>
      <c r="D13" s="543"/>
      <c r="E13" s="543"/>
      <c r="F13" s="543"/>
      <c r="G13" s="543"/>
      <c r="H13" s="543"/>
      <c r="I13" s="543"/>
      <c r="J13" s="543"/>
      <c r="K13" s="543"/>
      <c r="L13" s="543"/>
      <c r="M13" s="543"/>
      <c r="N13" s="543"/>
      <c r="O13" s="543"/>
    </row>
    <row r="14" spans="1:33" s="255" customFormat="1" ht="20.149999999999999" customHeight="1" outlineLevel="1" x14ac:dyDescent="0.55000000000000004">
      <c r="A14" s="34"/>
      <c r="B14" s="544" t="s">
        <v>18</v>
      </c>
      <c r="C14" s="815">
        <v>1641912703.5510001</v>
      </c>
      <c r="D14" s="356">
        <v>306.08100000000002</v>
      </c>
      <c r="E14" s="356">
        <v>127362</v>
      </c>
      <c r="F14" s="356">
        <v>0</v>
      </c>
      <c r="G14" s="356">
        <v>0</v>
      </c>
      <c r="H14" s="356">
        <v>739503.83700000006</v>
      </c>
      <c r="I14" s="356">
        <v>0</v>
      </c>
      <c r="J14" s="356">
        <v>1256777.55</v>
      </c>
      <c r="K14" s="356">
        <v>0</v>
      </c>
      <c r="L14" s="370">
        <v>24389429.266000003</v>
      </c>
      <c r="M14" s="356">
        <v>4556085.9579999996</v>
      </c>
      <c r="N14" s="379">
        <f t="shared" ref="N14:N22" si="3">SUM(D14:M14)</f>
        <v>31069464.692000005</v>
      </c>
      <c r="O14" s="379">
        <f t="shared" ref="O14:O22" si="4">C14+N14</f>
        <v>1672982168.243</v>
      </c>
    </row>
    <row r="15" spans="1:33" s="255" customFormat="1" ht="20.149999999999999" customHeight="1" outlineLevel="1" x14ac:dyDescent="0.55000000000000004">
      <c r="A15" s="34"/>
      <c r="B15" s="545" t="s">
        <v>19</v>
      </c>
      <c r="C15" s="815">
        <v>915645074.51999998</v>
      </c>
      <c r="D15" s="356">
        <v>0</v>
      </c>
      <c r="E15" s="356">
        <v>0</v>
      </c>
      <c r="F15" s="356">
        <v>0</v>
      </c>
      <c r="G15" s="356">
        <v>6027.1130000000003</v>
      </c>
      <c r="H15" s="356">
        <v>412788.24700000003</v>
      </c>
      <c r="I15" s="356">
        <v>0</v>
      </c>
      <c r="J15" s="356">
        <v>318158.40000000002</v>
      </c>
      <c r="K15" s="356">
        <v>394021.23499999999</v>
      </c>
      <c r="L15" s="370">
        <v>17964883.006000001</v>
      </c>
      <c r="M15" s="356">
        <v>10307330.687999999</v>
      </c>
      <c r="N15" s="379">
        <f t="shared" si="3"/>
        <v>29403208.689000003</v>
      </c>
      <c r="O15" s="379">
        <f t="shared" si="4"/>
        <v>945048283.20899999</v>
      </c>
    </row>
    <row r="16" spans="1:33" s="255" customFormat="1" ht="20.149999999999999" customHeight="1" outlineLevel="1" x14ac:dyDescent="0.55000000000000004">
      <c r="A16" s="261"/>
      <c r="B16" s="545" t="s">
        <v>20</v>
      </c>
      <c r="C16" s="815">
        <v>1814064706.4360001</v>
      </c>
      <c r="D16" s="356">
        <v>0</v>
      </c>
      <c r="E16" s="356">
        <v>0</v>
      </c>
      <c r="F16" s="356">
        <v>0</v>
      </c>
      <c r="G16" s="356">
        <v>0</v>
      </c>
      <c r="H16" s="356">
        <v>21074.061999999998</v>
      </c>
      <c r="I16" s="356">
        <v>8853.1110000000008</v>
      </c>
      <c r="J16" s="356">
        <v>0</v>
      </c>
      <c r="K16" s="356">
        <v>0</v>
      </c>
      <c r="L16" s="370">
        <v>49693517.806999996</v>
      </c>
      <c r="M16" s="356">
        <v>29020286.862</v>
      </c>
      <c r="N16" s="379">
        <f t="shared" si="3"/>
        <v>78743731.841999993</v>
      </c>
      <c r="O16" s="379">
        <f t="shared" si="4"/>
        <v>1892808438.2780001</v>
      </c>
    </row>
    <row r="17" spans="1:33" s="255" customFormat="1" ht="20.149999999999999" customHeight="1" outlineLevel="1" x14ac:dyDescent="0.55000000000000004">
      <c r="A17" s="261"/>
      <c r="B17" s="545" t="s">
        <v>21</v>
      </c>
      <c r="C17" s="815">
        <v>486034154.917</v>
      </c>
      <c r="D17" s="356">
        <v>0</v>
      </c>
      <c r="E17" s="356">
        <v>3321.1579999999999</v>
      </c>
      <c r="F17" s="356">
        <v>673.86900000000003</v>
      </c>
      <c r="G17" s="356">
        <v>0</v>
      </c>
      <c r="H17" s="356">
        <v>30210.652999999998</v>
      </c>
      <c r="I17" s="356">
        <v>10076.063</v>
      </c>
      <c r="J17" s="356">
        <v>0</v>
      </c>
      <c r="K17" s="356">
        <v>0</v>
      </c>
      <c r="L17" s="370">
        <v>4472091.5460000001</v>
      </c>
      <c r="M17" s="356">
        <v>384880.79300000001</v>
      </c>
      <c r="N17" s="379">
        <f t="shared" si="3"/>
        <v>4901254.0819999995</v>
      </c>
      <c r="O17" s="379">
        <f t="shared" si="4"/>
        <v>490935408.99900001</v>
      </c>
    </row>
    <row r="18" spans="1:33" s="255" customFormat="1" ht="20.149999999999999" customHeight="1" outlineLevel="1" x14ac:dyDescent="0.55000000000000004">
      <c r="A18" s="261"/>
      <c r="B18" s="545" t="s">
        <v>22</v>
      </c>
      <c r="C18" s="815">
        <v>710490689.02199996</v>
      </c>
      <c r="D18" s="356">
        <v>5323076.3899999997</v>
      </c>
      <c r="E18" s="356">
        <v>499325.36600000004</v>
      </c>
      <c r="F18" s="356">
        <v>28723.871999999999</v>
      </c>
      <c r="G18" s="356">
        <v>13561.290999999999</v>
      </c>
      <c r="H18" s="356">
        <v>2295014.5130000003</v>
      </c>
      <c r="I18" s="356">
        <v>280078.62800000003</v>
      </c>
      <c r="J18" s="356">
        <v>10032275.036</v>
      </c>
      <c r="K18" s="356">
        <v>0</v>
      </c>
      <c r="L18" s="370">
        <v>4173389.6069999994</v>
      </c>
      <c r="M18" s="356">
        <v>19575995.032000002</v>
      </c>
      <c r="N18" s="379">
        <f t="shared" si="3"/>
        <v>42221439.734999999</v>
      </c>
      <c r="O18" s="379">
        <f t="shared" si="4"/>
        <v>752712128.75699997</v>
      </c>
    </row>
    <row r="19" spans="1:33" s="255" customFormat="1" ht="20.149999999999999" customHeight="1" outlineLevel="1" x14ac:dyDescent="0.55000000000000004">
      <c r="A19" s="261"/>
      <c r="B19" s="545" t="s">
        <v>23</v>
      </c>
      <c r="C19" s="815">
        <v>349855175.37</v>
      </c>
      <c r="D19" s="356">
        <v>0</v>
      </c>
      <c r="E19" s="356">
        <v>0</v>
      </c>
      <c r="F19" s="356">
        <v>0</v>
      </c>
      <c r="G19" s="356">
        <v>0</v>
      </c>
      <c r="H19" s="356">
        <v>270690.64600000001</v>
      </c>
      <c r="I19" s="356">
        <v>0</v>
      </c>
      <c r="J19" s="356">
        <v>0</v>
      </c>
      <c r="K19" s="356">
        <v>0</v>
      </c>
      <c r="L19" s="370">
        <v>3119697.9929999998</v>
      </c>
      <c r="M19" s="356">
        <v>1732720.61</v>
      </c>
      <c r="N19" s="379">
        <f t="shared" si="3"/>
        <v>5123109.2489999998</v>
      </c>
      <c r="O19" s="379">
        <f t="shared" si="4"/>
        <v>354978284.61900002</v>
      </c>
    </row>
    <row r="20" spans="1:33" s="255" customFormat="1" ht="20.149999999999999" customHeight="1" outlineLevel="1" x14ac:dyDescent="0.55000000000000004">
      <c r="A20" s="261"/>
      <c r="B20" s="545" t="s">
        <v>24</v>
      </c>
      <c r="C20" s="815">
        <v>662192539.602</v>
      </c>
      <c r="D20" s="356">
        <v>1422045.2790000001</v>
      </c>
      <c r="E20" s="356">
        <v>117459.29700000001</v>
      </c>
      <c r="F20" s="356">
        <v>0</v>
      </c>
      <c r="G20" s="356">
        <v>66.753</v>
      </c>
      <c r="H20" s="356">
        <v>556390.52599999995</v>
      </c>
      <c r="I20" s="356">
        <v>100337.01700000001</v>
      </c>
      <c r="J20" s="356">
        <v>0</v>
      </c>
      <c r="K20" s="356">
        <v>0</v>
      </c>
      <c r="L20" s="370">
        <v>8183543.5820000004</v>
      </c>
      <c r="M20" s="356">
        <v>4458691.7759999996</v>
      </c>
      <c r="N20" s="379">
        <f t="shared" si="3"/>
        <v>14838534.23</v>
      </c>
      <c r="O20" s="379">
        <f t="shared" si="4"/>
        <v>677031073.83200002</v>
      </c>
    </row>
    <row r="21" spans="1:33" s="255" customFormat="1" ht="20.149999999999999" customHeight="1" outlineLevel="1" x14ac:dyDescent="0.55000000000000004">
      <c r="A21" s="261"/>
      <c r="B21" s="545" t="s">
        <v>25</v>
      </c>
      <c r="C21" s="815">
        <v>860500014.38600004</v>
      </c>
      <c r="D21" s="356">
        <v>1154481.477</v>
      </c>
      <c r="E21" s="356">
        <v>665540.87699999998</v>
      </c>
      <c r="F21" s="356">
        <v>0</v>
      </c>
      <c r="G21" s="356">
        <v>5904.6769999999997</v>
      </c>
      <c r="H21" s="356">
        <v>2517128.8090000004</v>
      </c>
      <c r="I21" s="356">
        <v>222706.122</v>
      </c>
      <c r="J21" s="356">
        <v>4986163.3049999997</v>
      </c>
      <c r="K21" s="356">
        <v>0</v>
      </c>
      <c r="L21" s="370">
        <v>10314540.443</v>
      </c>
      <c r="M21" s="356">
        <v>21982930.774</v>
      </c>
      <c r="N21" s="379">
        <f t="shared" si="3"/>
        <v>41849396.483999997</v>
      </c>
      <c r="O21" s="379">
        <f t="shared" si="4"/>
        <v>902349410.87</v>
      </c>
    </row>
    <row r="22" spans="1:33" s="255" customFormat="1" ht="20.149999999999999" customHeight="1" outlineLevel="1" x14ac:dyDescent="0.55000000000000004">
      <c r="A22" s="261"/>
      <c r="B22" s="545" t="s">
        <v>26</v>
      </c>
      <c r="C22" s="815">
        <v>1091980118.313</v>
      </c>
      <c r="D22" s="356">
        <v>7227546.3700000001</v>
      </c>
      <c r="E22" s="356">
        <v>3295156.38</v>
      </c>
      <c r="F22" s="356">
        <v>99.775999999999996</v>
      </c>
      <c r="G22" s="356">
        <v>5471.7610000000004</v>
      </c>
      <c r="H22" s="356">
        <v>433283.23</v>
      </c>
      <c r="I22" s="356">
        <v>68992.896999999997</v>
      </c>
      <c r="J22" s="356">
        <v>3438282.3810000001</v>
      </c>
      <c r="K22" s="356">
        <v>0</v>
      </c>
      <c r="L22" s="370">
        <v>2209227.4709999999</v>
      </c>
      <c r="M22" s="356">
        <v>39361080.539999999</v>
      </c>
      <c r="N22" s="379">
        <f t="shared" si="3"/>
        <v>56039140.806000002</v>
      </c>
      <c r="O22" s="379">
        <f t="shared" si="4"/>
        <v>1148019259.119</v>
      </c>
    </row>
    <row r="23" spans="1:33" s="255" customFormat="1" ht="20.149999999999999" customHeight="1" x14ac:dyDescent="0.55000000000000004">
      <c r="A23" s="21"/>
      <c r="B23" s="354" t="s">
        <v>1110</v>
      </c>
      <c r="C23" s="374">
        <f>SUM(C25:C33)</f>
        <v>8176413092.2119999</v>
      </c>
      <c r="D23" s="374">
        <f t="shared" ref="D23:M23" si="5">SUM(D25:D33)</f>
        <v>15978121.444</v>
      </c>
      <c r="E23" s="374">
        <f t="shared" si="5"/>
        <v>4768679.1210000003</v>
      </c>
      <c r="F23" s="374">
        <f t="shared" si="5"/>
        <v>29369.94</v>
      </c>
      <c r="G23" s="374">
        <f t="shared" si="5"/>
        <v>30854.86</v>
      </c>
      <c r="H23" s="374">
        <f t="shared" si="5"/>
        <v>7438030.8480000012</v>
      </c>
      <c r="I23" s="374">
        <f t="shared" si="5"/>
        <v>715836.23299999989</v>
      </c>
      <c r="J23" s="374">
        <f t="shared" si="5"/>
        <v>20216617.273999996</v>
      </c>
      <c r="K23" s="374">
        <f t="shared" si="5"/>
        <v>389330.505</v>
      </c>
      <c r="L23" s="374">
        <f t="shared" si="5"/>
        <v>118128116.25800002</v>
      </c>
      <c r="M23" s="374">
        <f t="shared" si="5"/>
        <v>111535718.40500002</v>
      </c>
      <c r="N23" s="385">
        <f t="shared" ref="N23" si="6">SUM(D23:M23)</f>
        <v>279230674.88800001</v>
      </c>
      <c r="O23" s="158">
        <f t="shared" ref="O23" si="7">N23+C23</f>
        <v>8455643767.1000004</v>
      </c>
      <c r="P23" s="253"/>
      <c r="Q23" s="40"/>
      <c r="R23" s="40"/>
      <c r="S23" s="40"/>
      <c r="T23" s="40"/>
      <c r="U23" s="40"/>
      <c r="V23" s="40"/>
      <c r="W23" s="40"/>
      <c r="X23" s="40"/>
      <c r="Y23" s="40"/>
      <c r="Z23" s="40"/>
      <c r="AA23" s="40"/>
      <c r="AB23" s="40"/>
      <c r="AC23" s="40"/>
      <c r="AD23" s="40"/>
      <c r="AE23" s="40"/>
      <c r="AF23" s="40"/>
      <c r="AG23" s="40"/>
    </row>
    <row r="24" spans="1:33" ht="20.149999999999999" customHeight="1" x14ac:dyDescent="0.3">
      <c r="A24" s="2"/>
      <c r="B24" s="548" t="s">
        <v>1101</v>
      </c>
      <c r="C24" s="543"/>
      <c r="D24" s="543"/>
      <c r="E24" s="543"/>
      <c r="F24" s="543"/>
      <c r="G24" s="543"/>
      <c r="H24" s="543"/>
      <c r="I24" s="543"/>
      <c r="J24" s="543"/>
      <c r="K24" s="543"/>
      <c r="L24" s="543"/>
      <c r="M24" s="543"/>
      <c r="N24" s="543"/>
      <c r="O24" s="543"/>
    </row>
    <row r="25" spans="1:33" s="255" customFormat="1" ht="20.149999999999999" hidden="1" customHeight="1" outlineLevel="1" x14ac:dyDescent="0.55000000000000004">
      <c r="A25" s="34"/>
      <c r="B25" s="544" t="s">
        <v>18</v>
      </c>
      <c r="C25" s="579">
        <v>1536765718.911</v>
      </c>
      <c r="D25" s="363">
        <v>306.08100000000002</v>
      </c>
      <c r="E25" s="363">
        <v>120890.4</v>
      </c>
      <c r="F25" s="363">
        <v>0</v>
      </c>
      <c r="G25" s="363">
        <v>0</v>
      </c>
      <c r="H25" s="363">
        <f>2646.451+721611.323</f>
        <v>724257.77399999998</v>
      </c>
      <c r="I25" s="363">
        <v>0</v>
      </c>
      <c r="J25" s="363">
        <v>1238823.585</v>
      </c>
      <c r="K25" s="363">
        <v>0</v>
      </c>
      <c r="L25" s="580">
        <f>17077443.588+1586653.302+4444647.744</f>
        <v>23108744.634</v>
      </c>
      <c r="M25" s="363">
        <v>4461602.9390000002</v>
      </c>
      <c r="N25" s="381">
        <f t="shared" ref="N25:N33" si="8">SUM(D25:M25)</f>
        <v>29654625.412999999</v>
      </c>
      <c r="O25" s="381">
        <f t="shared" ref="O25:O33" si="9">C25+N25</f>
        <v>1566420344.3240001</v>
      </c>
    </row>
    <row r="26" spans="1:33" s="255" customFormat="1" ht="20.149999999999999" hidden="1" customHeight="1" outlineLevel="1" x14ac:dyDescent="0.55000000000000004">
      <c r="A26" s="34"/>
      <c r="B26" s="545" t="s">
        <v>19</v>
      </c>
      <c r="C26" s="579">
        <v>849041864.68599999</v>
      </c>
      <c r="D26" s="363">
        <v>0</v>
      </c>
      <c r="E26" s="363">
        <v>0</v>
      </c>
      <c r="F26" s="363">
        <v>0</v>
      </c>
      <c r="G26" s="363">
        <v>5824.643</v>
      </c>
      <c r="H26" s="363">
        <f>28966.382+385233.933</f>
        <v>414200.315</v>
      </c>
      <c r="I26" s="363">
        <v>0</v>
      </c>
      <c r="J26" s="363">
        <v>314370.8</v>
      </c>
      <c r="K26" s="363">
        <v>389330.505</v>
      </c>
      <c r="L26" s="580">
        <f>9130670.735+1905566.174+5150520.704</f>
        <v>16186757.613</v>
      </c>
      <c r="M26" s="363">
        <v>10205724.122</v>
      </c>
      <c r="N26" s="381">
        <f t="shared" si="8"/>
        <v>27516207.997999996</v>
      </c>
      <c r="O26" s="381">
        <f t="shared" si="9"/>
        <v>876558072.68400002</v>
      </c>
    </row>
    <row r="27" spans="1:33" s="255" customFormat="1" ht="20.149999999999999" hidden="1" customHeight="1" outlineLevel="1" x14ac:dyDescent="0.55000000000000004">
      <c r="A27" s="261"/>
      <c r="B27" s="545" t="s">
        <v>20</v>
      </c>
      <c r="C27" s="579">
        <v>1749568032.8659999</v>
      </c>
      <c r="D27" s="363">
        <v>0</v>
      </c>
      <c r="E27" s="363">
        <v>0</v>
      </c>
      <c r="F27" s="363">
        <v>0</v>
      </c>
      <c r="G27" s="363">
        <v>0</v>
      </c>
      <c r="H27" s="363">
        <f>1038.599+20477.874</f>
        <v>21516.472999999998</v>
      </c>
      <c r="I27" s="363">
        <v>9145.4699999999993</v>
      </c>
      <c r="J27" s="363">
        <v>0</v>
      </c>
      <c r="K27" s="363">
        <v>0</v>
      </c>
      <c r="L27" s="580">
        <f>8310523.949+9442310.535+29475642.125</f>
        <v>47228476.608999997</v>
      </c>
      <c r="M27" s="363">
        <v>10380149.188999999</v>
      </c>
      <c r="N27" s="381">
        <f t="shared" si="8"/>
        <v>57639287.740999997</v>
      </c>
      <c r="O27" s="381">
        <f t="shared" si="9"/>
        <v>1807207320.6069999</v>
      </c>
    </row>
    <row r="28" spans="1:33" s="255" customFormat="1" ht="20.149999999999999" hidden="1" customHeight="1" outlineLevel="1" x14ac:dyDescent="0.55000000000000004">
      <c r="A28" s="261"/>
      <c r="B28" s="545" t="s">
        <v>21</v>
      </c>
      <c r="C28" s="579">
        <v>478410412.05000001</v>
      </c>
      <c r="D28" s="363">
        <v>0</v>
      </c>
      <c r="E28" s="363">
        <f>39.578+3479.595</f>
        <v>3519.1729999999998</v>
      </c>
      <c r="F28" s="363">
        <v>673.19500000000005</v>
      </c>
      <c r="G28" s="363">
        <v>0</v>
      </c>
      <c r="H28" s="363">
        <f>7073.738+20937.1</f>
        <v>28010.838</v>
      </c>
      <c r="I28" s="363">
        <v>10878.462</v>
      </c>
      <c r="J28" s="363">
        <v>0</v>
      </c>
      <c r="K28" s="363">
        <v>0</v>
      </c>
      <c r="L28" s="580">
        <f>2606704.003+499565.556+1230272.76</f>
        <v>4336542.3190000001</v>
      </c>
      <c r="M28" s="363">
        <v>317154.16100000002</v>
      </c>
      <c r="N28" s="381">
        <f t="shared" si="8"/>
        <v>4696778.148</v>
      </c>
      <c r="O28" s="381">
        <f t="shared" si="9"/>
        <v>483107190.19800001</v>
      </c>
    </row>
    <row r="29" spans="1:33" s="255" customFormat="1" ht="20.149999999999999" hidden="1" customHeight="1" outlineLevel="1" x14ac:dyDescent="0.55000000000000004">
      <c r="A29" s="261"/>
      <c r="B29" s="545" t="s">
        <v>22</v>
      </c>
      <c r="C29" s="579">
        <f>684287722.986+707407.971</f>
        <v>684995130.9569999</v>
      </c>
      <c r="D29" s="363">
        <f>2391897.658+146759.756+2682535.29</f>
        <v>5221192.7039999999</v>
      </c>
      <c r="E29" s="363">
        <f>106077.242+72803.278+319666.021</f>
        <v>498546.54100000003</v>
      </c>
      <c r="F29" s="363">
        <v>28592.267</v>
      </c>
      <c r="G29" s="363">
        <v>13678.57</v>
      </c>
      <c r="H29" s="363">
        <f>865716.782+1629748.217</f>
        <v>2495464.9989999998</v>
      </c>
      <c r="I29" s="363">
        <v>292048.47200000001</v>
      </c>
      <c r="J29" s="363">
        <v>10006516.407</v>
      </c>
      <c r="K29" s="363">
        <v>0</v>
      </c>
      <c r="L29" s="580">
        <f>3606177.403+45745.216+418703.735</f>
        <v>4070626.3539999998</v>
      </c>
      <c r="M29" s="363">
        <v>19547931</v>
      </c>
      <c r="N29" s="381">
        <f t="shared" si="8"/>
        <v>42174597.313999996</v>
      </c>
      <c r="O29" s="381">
        <f t="shared" si="9"/>
        <v>727169728.27099991</v>
      </c>
    </row>
    <row r="30" spans="1:33" s="255" customFormat="1" ht="20.149999999999999" hidden="1" customHeight="1" outlineLevel="1" x14ac:dyDescent="0.55000000000000004">
      <c r="A30" s="261"/>
      <c r="B30" s="545" t="s">
        <v>23</v>
      </c>
      <c r="C30" s="579">
        <v>347413814.37199998</v>
      </c>
      <c r="D30" s="363">
        <v>0</v>
      </c>
      <c r="E30" s="363">
        <v>0</v>
      </c>
      <c r="F30" s="363">
        <v>0</v>
      </c>
      <c r="G30" s="363">
        <v>0</v>
      </c>
      <c r="H30" s="363">
        <f>1243.696+272755.441</f>
        <v>273999.13699999999</v>
      </c>
      <c r="I30" s="363">
        <v>0</v>
      </c>
      <c r="J30" s="363">
        <v>0</v>
      </c>
      <c r="K30" s="363">
        <v>0</v>
      </c>
      <c r="L30" s="580">
        <f>2685932.505+144467.58+269418.085</f>
        <v>3099818.17</v>
      </c>
      <c r="M30" s="363">
        <f>1685844.141</f>
        <v>1685844.1410000001</v>
      </c>
      <c r="N30" s="381">
        <f t="shared" si="8"/>
        <v>5059661.4479999999</v>
      </c>
      <c r="O30" s="381">
        <f t="shared" si="9"/>
        <v>352473475.81999999</v>
      </c>
    </row>
    <row r="31" spans="1:33" s="255" customFormat="1" ht="20.149999999999999" hidden="1" customHeight="1" outlineLevel="1" x14ac:dyDescent="0.55000000000000004">
      <c r="A31" s="261"/>
      <c r="B31" s="545" t="s">
        <v>24</v>
      </c>
      <c r="C31" s="579">
        <f>645258519.236+628.401</f>
        <v>645259147.63699996</v>
      </c>
      <c r="D31" s="363">
        <f>21079.025+219.402+1492856.749</f>
        <v>1514155.176</v>
      </c>
      <c r="E31" s="363">
        <f>377.593+18334.76+106863.939</f>
        <v>125576.292</v>
      </c>
      <c r="F31" s="363">
        <v>0</v>
      </c>
      <c r="G31" s="363">
        <v>67.313999999999993</v>
      </c>
      <c r="H31" s="363">
        <f>8743.357+564741.324</f>
        <v>573484.68099999998</v>
      </c>
      <c r="I31" s="363">
        <v>110336.372</v>
      </c>
      <c r="J31" s="363">
        <v>0</v>
      </c>
      <c r="K31" s="363">
        <v>0</v>
      </c>
      <c r="L31" s="580">
        <f>7929418.492+925.056+39773.79</f>
        <v>7970117.3379999995</v>
      </c>
      <c r="M31" s="363">
        <v>4804167.6270000003</v>
      </c>
      <c r="N31" s="381">
        <f t="shared" si="8"/>
        <v>15097904.800000001</v>
      </c>
      <c r="O31" s="381">
        <f t="shared" si="9"/>
        <v>660357052.43699992</v>
      </c>
    </row>
    <row r="32" spans="1:33" s="255" customFormat="1" ht="20.149999999999999" hidden="1" customHeight="1" outlineLevel="1" x14ac:dyDescent="0.55000000000000004">
      <c r="A32" s="261"/>
      <c r="B32" s="545" t="s">
        <v>25</v>
      </c>
      <c r="C32" s="579">
        <v>836580497.43799996</v>
      </c>
      <c r="D32" s="363">
        <f>1589.038+47993.108+1494123.738</f>
        <v>1543705.8839999998</v>
      </c>
      <c r="E32" s="363">
        <f>884.786+102034.478+580352.367</f>
        <v>683271.63099999994</v>
      </c>
      <c r="F32" s="363">
        <v>0</v>
      </c>
      <c r="G32" s="363">
        <v>5837.8270000000002</v>
      </c>
      <c r="H32" s="363">
        <f>971.322+2495356.092</f>
        <v>2496327.4140000003</v>
      </c>
      <c r="I32" s="363">
        <v>223666.158</v>
      </c>
      <c r="J32" s="363">
        <v>5383023.1040000003</v>
      </c>
      <c r="K32" s="363">
        <v>0</v>
      </c>
      <c r="L32" s="580">
        <f>9225170.608+113614.72+638159.999</f>
        <v>9976945.3269999996</v>
      </c>
      <c r="M32" s="363">
        <f>21879588.445</f>
        <v>21879588.445</v>
      </c>
      <c r="N32" s="381">
        <f t="shared" si="8"/>
        <v>42192365.789999999</v>
      </c>
      <c r="O32" s="381">
        <f t="shared" si="9"/>
        <v>878772863.22799993</v>
      </c>
    </row>
    <row r="33" spans="1:33" s="255" customFormat="1" ht="20.149999999999999" hidden="1" customHeight="1" outlineLevel="1" x14ac:dyDescent="0.55000000000000004">
      <c r="A33" s="261"/>
      <c r="B33" s="545" t="s">
        <v>26</v>
      </c>
      <c r="C33" s="579">
        <f>1046559730.821+1818742.474</f>
        <v>1048378473.295</v>
      </c>
      <c r="D33" s="363">
        <f>3496202.765+121708.825+4080850.009</f>
        <v>7698761.5990000004</v>
      </c>
      <c r="E33" s="363">
        <f>223209.085+243053.813+2870612.186</f>
        <v>3336875.0840000003</v>
      </c>
      <c r="F33" s="363">
        <v>104.47799999999999</v>
      </c>
      <c r="G33" s="363">
        <v>5446.5060000000003</v>
      </c>
      <c r="H33" s="363">
        <f>204187.779+206581.438</f>
        <v>410769.217</v>
      </c>
      <c r="I33" s="363">
        <v>69761.298999999999</v>
      </c>
      <c r="J33" s="363">
        <v>3273883.378</v>
      </c>
      <c r="K33" s="363">
        <v>0</v>
      </c>
      <c r="L33" s="580">
        <f>1874707.834+69081.016+206299.044</f>
        <v>2150087.8940000003</v>
      </c>
      <c r="M33" s="363">
        <v>38253556.781000003</v>
      </c>
      <c r="N33" s="381">
        <f t="shared" si="8"/>
        <v>55199246.236000001</v>
      </c>
      <c r="O33" s="381">
        <f t="shared" si="9"/>
        <v>1103577719.5309999</v>
      </c>
    </row>
    <row r="34" spans="1:33" s="255" customFormat="1" ht="20.149999999999999" customHeight="1" collapsed="1" x14ac:dyDescent="0.55000000000000004">
      <c r="A34" s="21"/>
      <c r="B34" s="531" t="s">
        <v>1078</v>
      </c>
      <c r="C34" s="366">
        <v>8171734605</v>
      </c>
      <c r="D34" s="366">
        <v>15434460</v>
      </c>
      <c r="E34" s="366">
        <v>4547158</v>
      </c>
      <c r="F34" s="366">
        <v>29369</v>
      </c>
      <c r="G34" s="366">
        <v>30913</v>
      </c>
      <c r="H34" s="366">
        <v>7489459</v>
      </c>
      <c r="I34" s="366">
        <v>726935</v>
      </c>
      <c r="J34" s="366">
        <v>20272112</v>
      </c>
      <c r="K34" s="366">
        <v>389331</v>
      </c>
      <c r="L34" s="366">
        <v>118462569</v>
      </c>
      <c r="M34" s="366">
        <v>111232566</v>
      </c>
      <c r="N34" s="384">
        <f t="shared" ref="N34:N79" si="10">SUM(D34:M34)</f>
        <v>278614872</v>
      </c>
      <c r="O34" s="157">
        <f t="shared" ref="O34:O79" si="11">N34+C34</f>
        <v>8450349477</v>
      </c>
      <c r="P34" s="253"/>
      <c r="Q34" s="40"/>
      <c r="R34" s="40"/>
      <c r="S34" s="40"/>
      <c r="T34" s="40"/>
      <c r="U34" s="40"/>
      <c r="V34" s="40"/>
      <c r="W34" s="40"/>
      <c r="X34" s="40"/>
      <c r="Y34" s="40"/>
      <c r="Z34" s="40"/>
      <c r="AA34" s="40"/>
      <c r="AB34" s="40"/>
      <c r="AC34" s="40"/>
      <c r="AD34" s="40"/>
      <c r="AE34" s="40"/>
      <c r="AF34" s="40"/>
      <c r="AG34" s="40"/>
    </row>
    <row r="35" spans="1:33" ht="20.149999999999999" customHeight="1" x14ac:dyDescent="0.3">
      <c r="A35" s="2"/>
      <c r="B35" s="548" t="s">
        <v>1101</v>
      </c>
      <c r="C35" s="543"/>
      <c r="D35" s="543"/>
      <c r="E35" s="543"/>
      <c r="F35" s="543"/>
      <c r="G35" s="543"/>
      <c r="H35" s="543"/>
      <c r="I35" s="543"/>
      <c r="J35" s="543"/>
      <c r="K35" s="543"/>
      <c r="L35" s="543"/>
      <c r="M35" s="543"/>
      <c r="N35" s="543"/>
      <c r="O35" s="543"/>
    </row>
    <row r="36" spans="1:33" s="255" customFormat="1" ht="20.149999999999999" hidden="1" customHeight="1" outlineLevel="1" x14ac:dyDescent="0.55000000000000004">
      <c r="A36" s="34"/>
      <c r="B36" s="544" t="s">
        <v>18</v>
      </c>
      <c r="C36" s="366">
        <v>1536200985</v>
      </c>
      <c r="D36" s="366">
        <v>306</v>
      </c>
      <c r="E36" s="366">
        <v>120890</v>
      </c>
      <c r="F36" s="366">
        <v>0</v>
      </c>
      <c r="G36" s="366">
        <v>0</v>
      </c>
      <c r="H36" s="366">
        <v>733078</v>
      </c>
      <c r="I36" s="366">
        <v>0</v>
      </c>
      <c r="J36" s="366">
        <v>1238824</v>
      </c>
      <c r="K36" s="366">
        <v>0</v>
      </c>
      <c r="L36" s="366">
        <v>23399888</v>
      </c>
      <c r="M36" s="366">
        <v>5520559</v>
      </c>
      <c r="N36" s="384">
        <f>SUM(D36:M36)</f>
        <v>31013545</v>
      </c>
      <c r="O36" s="157">
        <f t="shared" ref="O36:O44" si="12">N36+C36</f>
        <v>1567214530</v>
      </c>
    </row>
    <row r="37" spans="1:33" s="255" customFormat="1" ht="20.149999999999999" hidden="1" customHeight="1" outlineLevel="1" x14ac:dyDescent="0.55000000000000004">
      <c r="A37" s="34"/>
      <c r="B37" s="545" t="s">
        <v>19</v>
      </c>
      <c r="C37" s="366">
        <v>849891384</v>
      </c>
      <c r="D37" s="366">
        <v>0</v>
      </c>
      <c r="E37" s="366">
        <v>0</v>
      </c>
      <c r="F37" s="366">
        <v>0</v>
      </c>
      <c r="G37" s="366">
        <v>5825</v>
      </c>
      <c r="H37" s="366">
        <v>419682</v>
      </c>
      <c r="I37" s="366">
        <v>0</v>
      </c>
      <c r="J37" s="366">
        <v>314371</v>
      </c>
      <c r="K37" s="366">
        <v>389331</v>
      </c>
      <c r="L37" s="366">
        <v>16187139</v>
      </c>
      <c r="M37" s="366">
        <v>10242547</v>
      </c>
      <c r="N37" s="384">
        <f t="shared" ref="N37:N44" si="13">SUM(D37:M37)</f>
        <v>27558895</v>
      </c>
      <c r="O37" s="157">
        <f t="shared" si="12"/>
        <v>877450279</v>
      </c>
    </row>
    <row r="38" spans="1:33" s="255" customFormat="1" ht="20.149999999999999" hidden="1" customHeight="1" outlineLevel="1" x14ac:dyDescent="0.55000000000000004">
      <c r="A38" s="261"/>
      <c r="B38" s="545" t="s">
        <v>20</v>
      </c>
      <c r="C38" s="366">
        <v>1745132688</v>
      </c>
      <c r="D38" s="366">
        <v>0</v>
      </c>
      <c r="E38" s="366">
        <v>0</v>
      </c>
      <c r="F38" s="366">
        <v>0</v>
      </c>
      <c r="G38" s="366">
        <v>0</v>
      </c>
      <c r="H38" s="366">
        <v>21986</v>
      </c>
      <c r="I38" s="366">
        <v>11944</v>
      </c>
      <c r="J38" s="366">
        <v>0</v>
      </c>
      <c r="K38" s="366">
        <v>0</v>
      </c>
      <c r="L38" s="366">
        <v>47223718</v>
      </c>
      <c r="M38" s="366">
        <v>9423139</v>
      </c>
      <c r="N38" s="384">
        <f t="shared" si="13"/>
        <v>56680787</v>
      </c>
      <c r="O38" s="157">
        <f t="shared" si="12"/>
        <v>1801813475</v>
      </c>
    </row>
    <row r="39" spans="1:33" s="255" customFormat="1" ht="20.149999999999999" hidden="1" customHeight="1" outlineLevel="1" x14ac:dyDescent="0.55000000000000004">
      <c r="A39" s="261"/>
      <c r="B39" s="545" t="s">
        <v>21</v>
      </c>
      <c r="C39" s="366">
        <v>477966843</v>
      </c>
      <c r="D39" s="366">
        <v>0</v>
      </c>
      <c r="E39" s="366">
        <v>40</v>
      </c>
      <c r="F39" s="366">
        <v>673</v>
      </c>
      <c r="G39" s="366">
        <v>0</v>
      </c>
      <c r="H39" s="366">
        <v>28416</v>
      </c>
      <c r="I39" s="366">
        <v>11108</v>
      </c>
      <c r="J39" s="366">
        <v>0</v>
      </c>
      <c r="K39" s="366">
        <v>0</v>
      </c>
      <c r="L39" s="366">
        <v>4336542</v>
      </c>
      <c r="M39" s="366">
        <v>320668</v>
      </c>
      <c r="N39" s="384">
        <f t="shared" si="13"/>
        <v>4697447</v>
      </c>
      <c r="O39" s="157">
        <f t="shared" si="12"/>
        <v>482664290</v>
      </c>
    </row>
    <row r="40" spans="1:33" s="255" customFormat="1" ht="20.149999999999999" hidden="1" customHeight="1" outlineLevel="1" x14ac:dyDescent="0.55000000000000004">
      <c r="A40" s="261"/>
      <c r="B40" s="545" t="s">
        <v>22</v>
      </c>
      <c r="C40" s="366">
        <v>685413711</v>
      </c>
      <c r="D40" s="366">
        <v>5225929</v>
      </c>
      <c r="E40" s="366">
        <v>521008</v>
      </c>
      <c r="F40" s="366">
        <v>28592</v>
      </c>
      <c r="G40" s="366">
        <v>13705</v>
      </c>
      <c r="H40" s="366">
        <v>2502439</v>
      </c>
      <c r="I40" s="366">
        <v>293538</v>
      </c>
      <c r="J40" s="366">
        <v>10006516</v>
      </c>
      <c r="K40" s="366">
        <v>0</v>
      </c>
      <c r="L40" s="366">
        <v>4072329</v>
      </c>
      <c r="M40" s="366">
        <v>19619991</v>
      </c>
      <c r="N40" s="384">
        <f t="shared" si="13"/>
        <v>42284047</v>
      </c>
      <c r="O40" s="157">
        <f t="shared" si="12"/>
        <v>727697758</v>
      </c>
    </row>
    <row r="41" spans="1:33" s="255" customFormat="1" ht="20.149999999999999" hidden="1" customHeight="1" outlineLevel="1" x14ac:dyDescent="0.55000000000000004">
      <c r="A41" s="261"/>
      <c r="B41" s="545" t="s">
        <v>23</v>
      </c>
      <c r="C41" s="366">
        <v>349762873</v>
      </c>
      <c r="D41" s="366">
        <v>0</v>
      </c>
      <c r="E41" s="366">
        <v>0</v>
      </c>
      <c r="F41" s="366">
        <v>0</v>
      </c>
      <c r="G41" s="366">
        <v>0</v>
      </c>
      <c r="H41" s="366">
        <v>280073</v>
      </c>
      <c r="I41" s="366">
        <v>0</v>
      </c>
      <c r="J41" s="366">
        <v>0</v>
      </c>
      <c r="K41" s="366">
        <v>0</v>
      </c>
      <c r="L41" s="366">
        <v>3136936</v>
      </c>
      <c r="M41" s="366">
        <v>1331942</v>
      </c>
      <c r="N41" s="384">
        <f t="shared" si="13"/>
        <v>4748951</v>
      </c>
      <c r="O41" s="157">
        <f t="shared" si="12"/>
        <v>354511824</v>
      </c>
    </row>
    <row r="42" spans="1:33" s="255" customFormat="1" ht="20.149999999999999" hidden="1" customHeight="1" outlineLevel="1" x14ac:dyDescent="0.55000000000000004">
      <c r="A42" s="261"/>
      <c r="B42" s="545" t="s">
        <v>24</v>
      </c>
      <c r="C42" s="366">
        <v>645683216</v>
      </c>
      <c r="D42" s="366">
        <v>1381415</v>
      </c>
      <c r="E42" s="366">
        <v>127561</v>
      </c>
      <c r="F42" s="366">
        <v>0</v>
      </c>
      <c r="G42" s="366">
        <v>68</v>
      </c>
      <c r="H42" s="366">
        <v>579435</v>
      </c>
      <c r="I42" s="366">
        <v>112640</v>
      </c>
      <c r="J42" s="366">
        <v>0</v>
      </c>
      <c r="K42" s="366">
        <v>0</v>
      </c>
      <c r="L42" s="366">
        <v>7970804</v>
      </c>
      <c r="M42" s="366">
        <v>4249459</v>
      </c>
      <c r="N42" s="384">
        <f t="shared" si="13"/>
        <v>14421382</v>
      </c>
      <c r="O42" s="157">
        <f t="shared" si="12"/>
        <v>660104598</v>
      </c>
    </row>
    <row r="43" spans="1:33" s="255" customFormat="1" ht="20.149999999999999" hidden="1" customHeight="1" outlineLevel="1" x14ac:dyDescent="0.55000000000000004">
      <c r="A43" s="261"/>
      <c r="B43" s="545" t="s">
        <v>25</v>
      </c>
      <c r="C43" s="366">
        <v>834162706</v>
      </c>
      <c r="D43" s="366">
        <v>1504589</v>
      </c>
      <c r="E43" s="366">
        <v>630505</v>
      </c>
      <c r="F43" s="366">
        <v>0</v>
      </c>
      <c r="G43" s="366">
        <v>5838</v>
      </c>
      <c r="H43" s="366">
        <v>2514397</v>
      </c>
      <c r="I43" s="366">
        <v>224225</v>
      </c>
      <c r="J43" s="366">
        <v>5438518</v>
      </c>
      <c r="K43" s="366">
        <v>0</v>
      </c>
      <c r="L43" s="366">
        <v>9976997</v>
      </c>
      <c r="M43" s="366">
        <v>21843120</v>
      </c>
      <c r="N43" s="384">
        <f t="shared" si="13"/>
        <v>42138189</v>
      </c>
      <c r="O43" s="157">
        <f t="shared" si="12"/>
        <v>876300895</v>
      </c>
    </row>
    <row r="44" spans="1:33" s="255" customFormat="1" ht="20.149999999999999" hidden="1" customHeight="1" outlineLevel="1" x14ac:dyDescent="0.55000000000000004">
      <c r="A44" s="261"/>
      <c r="B44" s="545" t="s">
        <v>26</v>
      </c>
      <c r="C44" s="366">
        <v>1047520199</v>
      </c>
      <c r="D44" s="366">
        <v>7322221</v>
      </c>
      <c r="E44" s="366">
        <v>3147154</v>
      </c>
      <c r="F44" s="366">
        <v>104</v>
      </c>
      <c r="G44" s="366">
        <v>5478</v>
      </c>
      <c r="H44" s="366">
        <v>409955</v>
      </c>
      <c r="I44" s="366">
        <v>73479</v>
      </c>
      <c r="J44" s="366">
        <v>3273883</v>
      </c>
      <c r="K44" s="366">
        <v>0</v>
      </c>
      <c r="L44" s="366">
        <v>2158218</v>
      </c>
      <c r="M44" s="366">
        <v>38681141</v>
      </c>
      <c r="N44" s="384">
        <f t="shared" si="13"/>
        <v>55071633</v>
      </c>
      <c r="O44" s="157">
        <f t="shared" si="12"/>
        <v>1102591832</v>
      </c>
    </row>
    <row r="45" spans="1:33" s="255" customFormat="1" ht="20.149999999999999" customHeight="1" collapsed="1" x14ac:dyDescent="0.55000000000000004">
      <c r="A45" s="21"/>
      <c r="B45" s="531" t="s">
        <v>1079</v>
      </c>
      <c r="C45" s="366">
        <v>8216460708</v>
      </c>
      <c r="D45" s="366">
        <v>15979548</v>
      </c>
      <c r="E45" s="366">
        <v>4704451</v>
      </c>
      <c r="F45" s="366">
        <v>29370</v>
      </c>
      <c r="G45" s="366">
        <v>32915</v>
      </c>
      <c r="H45" s="366">
        <v>7590379</v>
      </c>
      <c r="I45" s="366">
        <v>759453</v>
      </c>
      <c r="J45" s="366">
        <v>20327608</v>
      </c>
      <c r="K45" s="366">
        <v>389331</v>
      </c>
      <c r="L45" s="366">
        <v>116499915</v>
      </c>
      <c r="M45" s="366">
        <v>112461336</v>
      </c>
      <c r="N45" s="384">
        <f t="shared" si="10"/>
        <v>278774306</v>
      </c>
      <c r="O45" s="157">
        <f t="shared" si="11"/>
        <v>8495235014</v>
      </c>
      <c r="P45" s="253"/>
      <c r="Q45" s="40"/>
      <c r="R45" s="40"/>
      <c r="S45" s="40"/>
      <c r="T45" s="40"/>
      <c r="U45" s="40"/>
      <c r="V45" s="40"/>
      <c r="W45" s="40"/>
      <c r="X45" s="40"/>
      <c r="Y45" s="40"/>
      <c r="Z45" s="40"/>
      <c r="AA45" s="40"/>
      <c r="AB45" s="40"/>
      <c r="AC45" s="40"/>
      <c r="AD45" s="40"/>
      <c r="AE45" s="40"/>
      <c r="AF45" s="40"/>
      <c r="AG45" s="40"/>
    </row>
    <row r="46" spans="1:33" ht="20.149999999999999" customHeight="1" x14ac:dyDescent="0.3">
      <c r="A46" s="2"/>
      <c r="B46" s="548" t="s">
        <v>1101</v>
      </c>
      <c r="C46" s="543"/>
      <c r="D46" s="543"/>
      <c r="E46" s="543"/>
      <c r="F46" s="543"/>
      <c r="G46" s="543"/>
      <c r="H46" s="543"/>
      <c r="I46" s="543"/>
      <c r="J46" s="543"/>
      <c r="K46" s="543"/>
      <c r="L46" s="543"/>
      <c r="M46" s="543"/>
      <c r="N46" s="543"/>
      <c r="O46" s="543"/>
    </row>
    <row r="47" spans="1:33" s="255" customFormat="1" ht="20.149999999999999" hidden="1" customHeight="1" outlineLevel="1" x14ac:dyDescent="0.55000000000000004">
      <c r="A47" s="34"/>
      <c r="B47" s="544" t="s">
        <v>18</v>
      </c>
      <c r="C47" s="366">
        <v>1536400835</v>
      </c>
      <c r="D47" s="366">
        <v>306</v>
      </c>
      <c r="E47" s="366">
        <v>120890</v>
      </c>
      <c r="F47" s="366">
        <v>0</v>
      </c>
      <c r="G47" s="366">
        <v>0</v>
      </c>
      <c r="H47" s="366">
        <v>739384</v>
      </c>
      <c r="I47" s="366">
        <v>0</v>
      </c>
      <c r="J47" s="366">
        <v>1238824</v>
      </c>
      <c r="K47" s="366">
        <v>0</v>
      </c>
      <c r="L47" s="366">
        <v>23372972</v>
      </c>
      <c r="M47" s="366">
        <v>6244933</v>
      </c>
      <c r="N47" s="384">
        <f t="shared" ref="N47:N55" si="14">SUM(D47:M47)</f>
        <v>31717309</v>
      </c>
      <c r="O47" s="157">
        <f t="shared" ref="O47:O55" si="15">N47+C47</f>
        <v>1568118144</v>
      </c>
    </row>
    <row r="48" spans="1:33" s="255" customFormat="1" ht="20.149999999999999" hidden="1" customHeight="1" outlineLevel="1" x14ac:dyDescent="0.55000000000000004">
      <c r="A48" s="34"/>
      <c r="B48" s="545" t="s">
        <v>19</v>
      </c>
      <c r="C48" s="366">
        <v>849003672</v>
      </c>
      <c r="D48" s="366">
        <v>0</v>
      </c>
      <c r="E48" s="366">
        <v>0</v>
      </c>
      <c r="F48" s="366">
        <v>0</v>
      </c>
      <c r="G48" s="366">
        <v>7687</v>
      </c>
      <c r="H48" s="366">
        <v>426915</v>
      </c>
      <c r="I48" s="366">
        <v>0</v>
      </c>
      <c r="J48" s="366">
        <v>314371</v>
      </c>
      <c r="K48" s="366">
        <v>389331</v>
      </c>
      <c r="L48" s="366">
        <v>16187520</v>
      </c>
      <c r="M48" s="366">
        <v>10389248</v>
      </c>
      <c r="N48" s="384">
        <f t="shared" si="14"/>
        <v>27715072</v>
      </c>
      <c r="O48" s="157">
        <f t="shared" si="15"/>
        <v>876718744</v>
      </c>
    </row>
    <row r="49" spans="1:33" s="255" customFormat="1" ht="20.149999999999999" hidden="1" customHeight="1" outlineLevel="1" x14ac:dyDescent="0.55000000000000004">
      <c r="A49" s="261"/>
      <c r="B49" s="545" t="s">
        <v>20</v>
      </c>
      <c r="C49" s="366">
        <v>1787005928</v>
      </c>
      <c r="D49" s="366">
        <v>0</v>
      </c>
      <c r="E49" s="366">
        <v>0</v>
      </c>
      <c r="F49" s="366">
        <v>0</v>
      </c>
      <c r="G49" s="366">
        <v>0</v>
      </c>
      <c r="H49" s="366">
        <v>27742</v>
      </c>
      <c r="I49" s="366">
        <v>12497</v>
      </c>
      <c r="J49" s="366">
        <v>0</v>
      </c>
      <c r="K49" s="366">
        <v>0</v>
      </c>
      <c r="L49" s="366">
        <v>45241145</v>
      </c>
      <c r="M49" s="366">
        <v>10040787</v>
      </c>
      <c r="N49" s="384">
        <f t="shared" si="14"/>
        <v>55322171</v>
      </c>
      <c r="O49" s="157">
        <f t="shared" si="15"/>
        <v>1842328099</v>
      </c>
    </row>
    <row r="50" spans="1:33" s="255" customFormat="1" ht="20.149999999999999" hidden="1" customHeight="1" outlineLevel="1" x14ac:dyDescent="0.55000000000000004">
      <c r="A50" s="261"/>
      <c r="B50" s="545" t="s">
        <v>21</v>
      </c>
      <c r="C50" s="366">
        <v>478157384</v>
      </c>
      <c r="D50" s="366">
        <v>0</v>
      </c>
      <c r="E50" s="366">
        <v>40</v>
      </c>
      <c r="F50" s="366">
        <v>673</v>
      </c>
      <c r="G50" s="366">
        <v>0</v>
      </c>
      <c r="H50" s="366">
        <v>28733</v>
      </c>
      <c r="I50" s="366">
        <v>11300</v>
      </c>
      <c r="J50" s="366">
        <v>0</v>
      </c>
      <c r="K50" s="366">
        <v>0</v>
      </c>
      <c r="L50" s="366">
        <v>4336542</v>
      </c>
      <c r="M50" s="366">
        <v>322599</v>
      </c>
      <c r="N50" s="384">
        <f t="shared" si="14"/>
        <v>4699887</v>
      </c>
      <c r="O50" s="157">
        <f t="shared" si="15"/>
        <v>482857271</v>
      </c>
    </row>
    <row r="51" spans="1:33" s="255" customFormat="1" ht="20.149999999999999" hidden="1" customHeight="1" outlineLevel="1" x14ac:dyDescent="0.55000000000000004">
      <c r="A51" s="261"/>
      <c r="B51" s="545" t="s">
        <v>22</v>
      </c>
      <c r="C51" s="366">
        <v>687581246</v>
      </c>
      <c r="D51" s="366">
        <v>5610131</v>
      </c>
      <c r="E51" s="366">
        <v>537872</v>
      </c>
      <c r="F51" s="366">
        <v>28592</v>
      </c>
      <c r="G51" s="366">
        <v>13804</v>
      </c>
      <c r="H51" s="366">
        <v>2519082</v>
      </c>
      <c r="I51" s="366">
        <v>299392</v>
      </c>
      <c r="J51" s="366">
        <v>10006516</v>
      </c>
      <c r="K51" s="366">
        <v>0</v>
      </c>
      <c r="L51" s="366">
        <v>4106092</v>
      </c>
      <c r="M51" s="366">
        <v>19791780</v>
      </c>
      <c r="N51" s="384">
        <f t="shared" si="14"/>
        <v>42913261</v>
      </c>
      <c r="O51" s="157">
        <f t="shared" si="15"/>
        <v>730494507</v>
      </c>
    </row>
    <row r="52" spans="1:33" s="255" customFormat="1" ht="20.149999999999999" hidden="1" customHeight="1" outlineLevel="1" x14ac:dyDescent="0.55000000000000004">
      <c r="A52" s="261"/>
      <c r="B52" s="545" t="s">
        <v>23</v>
      </c>
      <c r="C52" s="366">
        <v>352151478</v>
      </c>
      <c r="D52" s="366">
        <v>0</v>
      </c>
      <c r="E52" s="366">
        <v>265</v>
      </c>
      <c r="F52" s="366">
        <v>0</v>
      </c>
      <c r="G52" s="366">
        <v>0</v>
      </c>
      <c r="H52" s="366">
        <v>288767</v>
      </c>
      <c r="I52" s="366">
        <v>0</v>
      </c>
      <c r="J52" s="366">
        <v>0</v>
      </c>
      <c r="K52" s="366">
        <v>0</v>
      </c>
      <c r="L52" s="366">
        <v>3148595</v>
      </c>
      <c r="M52" s="366">
        <v>1198317</v>
      </c>
      <c r="N52" s="384">
        <f t="shared" si="14"/>
        <v>4635944</v>
      </c>
      <c r="O52" s="157">
        <f t="shared" si="15"/>
        <v>356787422</v>
      </c>
    </row>
    <row r="53" spans="1:33" s="255" customFormat="1" ht="20.149999999999999" hidden="1" customHeight="1" outlineLevel="1" x14ac:dyDescent="0.55000000000000004">
      <c r="A53" s="261"/>
      <c r="B53" s="545" t="s">
        <v>24</v>
      </c>
      <c r="C53" s="366">
        <v>646920785</v>
      </c>
      <c r="D53" s="366">
        <v>1448419</v>
      </c>
      <c r="E53" s="366">
        <v>129676</v>
      </c>
      <c r="F53" s="366">
        <v>0</v>
      </c>
      <c r="G53" s="366">
        <v>69</v>
      </c>
      <c r="H53" s="366">
        <v>610540</v>
      </c>
      <c r="I53" s="366">
        <v>133026</v>
      </c>
      <c r="J53" s="366">
        <v>0</v>
      </c>
      <c r="K53" s="366">
        <v>0</v>
      </c>
      <c r="L53" s="366">
        <v>7967698</v>
      </c>
      <c r="M53" s="366">
        <v>4213939</v>
      </c>
      <c r="N53" s="384">
        <f t="shared" si="14"/>
        <v>14503367</v>
      </c>
      <c r="O53" s="157">
        <f t="shared" si="15"/>
        <v>661424152</v>
      </c>
    </row>
    <row r="54" spans="1:33" s="255" customFormat="1" ht="20.149999999999999" hidden="1" customHeight="1" outlineLevel="1" x14ac:dyDescent="0.55000000000000004">
      <c r="A54" s="261"/>
      <c r="B54" s="545" t="s">
        <v>25</v>
      </c>
      <c r="C54" s="366">
        <v>834291153</v>
      </c>
      <c r="D54" s="366">
        <v>1517121</v>
      </c>
      <c r="E54" s="366">
        <v>637098</v>
      </c>
      <c r="F54" s="366">
        <v>0</v>
      </c>
      <c r="G54" s="366">
        <v>5838</v>
      </c>
      <c r="H54" s="366">
        <v>2537847</v>
      </c>
      <c r="I54" s="366">
        <v>229581</v>
      </c>
      <c r="J54" s="366">
        <v>5494013</v>
      </c>
      <c r="K54" s="366">
        <v>0</v>
      </c>
      <c r="L54" s="366">
        <v>9977049</v>
      </c>
      <c r="M54" s="366">
        <v>21818283</v>
      </c>
      <c r="N54" s="384">
        <f t="shared" si="14"/>
        <v>42216830</v>
      </c>
      <c r="O54" s="157">
        <f t="shared" si="15"/>
        <v>876507983</v>
      </c>
    </row>
    <row r="55" spans="1:33" s="255" customFormat="1" ht="20.149999999999999" hidden="1" customHeight="1" outlineLevel="1" x14ac:dyDescent="0.55000000000000004">
      <c r="A55" s="261"/>
      <c r="B55" s="545" t="s">
        <v>26</v>
      </c>
      <c r="C55" s="366">
        <v>1044948228</v>
      </c>
      <c r="D55" s="366">
        <v>7403571</v>
      </c>
      <c r="E55" s="366">
        <v>3278610</v>
      </c>
      <c r="F55" s="366">
        <v>104</v>
      </c>
      <c r="G55" s="366">
        <v>5517</v>
      </c>
      <c r="H55" s="366">
        <v>411369</v>
      </c>
      <c r="I55" s="366">
        <v>73658</v>
      </c>
      <c r="J55" s="366">
        <v>3273883</v>
      </c>
      <c r="K55" s="366">
        <v>0</v>
      </c>
      <c r="L55" s="366">
        <v>2162303</v>
      </c>
      <c r="M55" s="366">
        <v>38441450</v>
      </c>
      <c r="N55" s="384">
        <f t="shared" si="14"/>
        <v>55050465</v>
      </c>
      <c r="O55" s="157">
        <f t="shared" si="15"/>
        <v>1099998693</v>
      </c>
    </row>
    <row r="56" spans="1:33" s="255" customFormat="1" ht="20.149999999999999" customHeight="1" collapsed="1" x14ac:dyDescent="0.55000000000000004">
      <c r="A56" s="21"/>
      <c r="B56" s="354" t="s">
        <v>1</v>
      </c>
      <c r="C56" s="356">
        <v>7565570626</v>
      </c>
      <c r="D56" s="356">
        <v>17065165</v>
      </c>
      <c r="E56" s="356">
        <v>5082399</v>
      </c>
      <c r="F56" s="356">
        <v>24108</v>
      </c>
      <c r="G56" s="356">
        <v>33931</v>
      </c>
      <c r="H56" s="356">
        <v>7424159</v>
      </c>
      <c r="I56" s="356">
        <v>986226</v>
      </c>
      <c r="J56" s="356">
        <v>21842385</v>
      </c>
      <c r="K56" s="356">
        <v>405748</v>
      </c>
      <c r="L56" s="356">
        <v>98683303</v>
      </c>
      <c r="M56" s="356">
        <v>108406272</v>
      </c>
      <c r="N56" s="385">
        <f t="shared" si="10"/>
        <v>259953696</v>
      </c>
      <c r="O56" s="158">
        <f t="shared" si="11"/>
        <v>7825524322</v>
      </c>
      <c r="P56" s="253"/>
      <c r="Q56" s="40"/>
      <c r="R56" s="40"/>
      <c r="S56" s="40"/>
      <c r="T56" s="40"/>
      <c r="U56" s="40"/>
      <c r="V56" s="40"/>
      <c r="W56" s="40"/>
      <c r="X56" s="40"/>
      <c r="Y56" s="40"/>
      <c r="Z56" s="40"/>
      <c r="AA56" s="40"/>
      <c r="AB56" s="40"/>
      <c r="AC56" s="40"/>
      <c r="AD56" s="40"/>
      <c r="AE56" s="40"/>
      <c r="AF56" s="40"/>
      <c r="AG56" s="40"/>
    </row>
    <row r="57" spans="1:33" ht="20.149999999999999" customHeight="1" x14ac:dyDescent="0.3">
      <c r="A57" s="2"/>
      <c r="B57" s="548" t="s">
        <v>1101</v>
      </c>
      <c r="C57" s="543"/>
      <c r="D57" s="543"/>
      <c r="E57" s="543"/>
      <c r="F57" s="543"/>
      <c r="G57" s="543"/>
      <c r="H57" s="543"/>
      <c r="I57" s="543"/>
      <c r="J57" s="543"/>
      <c r="K57" s="543"/>
      <c r="L57" s="543"/>
      <c r="M57" s="543"/>
      <c r="N57" s="543"/>
      <c r="O57" s="543"/>
    </row>
    <row r="58" spans="1:33" s="255" customFormat="1" ht="20.149999999999999" hidden="1" customHeight="1" outlineLevel="1" x14ac:dyDescent="0.55000000000000004">
      <c r="A58" s="34"/>
      <c r="B58" s="544" t="s">
        <v>18</v>
      </c>
      <c r="C58" s="356">
        <v>1450389291</v>
      </c>
      <c r="D58" s="356">
        <v>163765</v>
      </c>
      <c r="E58" s="356">
        <v>114436</v>
      </c>
      <c r="F58" s="356">
        <v>0</v>
      </c>
      <c r="G58" s="356">
        <v>0</v>
      </c>
      <c r="H58" s="356">
        <v>789494</v>
      </c>
      <c r="I58" s="356">
        <v>0</v>
      </c>
      <c r="J58" s="356">
        <v>1292685</v>
      </c>
      <c r="K58" s="356">
        <v>0</v>
      </c>
      <c r="L58" s="356">
        <v>21607126</v>
      </c>
      <c r="M58" s="356">
        <v>5964787</v>
      </c>
      <c r="N58" s="385">
        <f t="shared" ref="N58:N66" si="16">SUM(D58:M58)</f>
        <v>29932293</v>
      </c>
      <c r="O58" s="158">
        <f t="shared" ref="O58:O66" si="17">N58+C58</f>
        <v>1480321584</v>
      </c>
    </row>
    <row r="59" spans="1:33" s="255" customFormat="1" ht="20.149999999999999" hidden="1" customHeight="1" outlineLevel="1" x14ac:dyDescent="0.55000000000000004">
      <c r="A59" s="34"/>
      <c r="B59" s="545" t="s">
        <v>19</v>
      </c>
      <c r="C59" s="356">
        <v>768990977</v>
      </c>
      <c r="D59" s="356">
        <v>0</v>
      </c>
      <c r="E59" s="356">
        <v>0</v>
      </c>
      <c r="F59" s="356">
        <v>0</v>
      </c>
      <c r="G59" s="356">
        <v>8107</v>
      </c>
      <c r="H59" s="356">
        <v>428712</v>
      </c>
      <c r="I59" s="356">
        <v>0</v>
      </c>
      <c r="J59" s="356">
        <v>327627</v>
      </c>
      <c r="K59" s="356">
        <v>405748</v>
      </c>
      <c r="L59" s="356">
        <v>13871812</v>
      </c>
      <c r="M59" s="356">
        <v>10100357</v>
      </c>
      <c r="N59" s="385">
        <f t="shared" si="16"/>
        <v>25142363</v>
      </c>
      <c r="O59" s="158">
        <f t="shared" si="17"/>
        <v>794133340</v>
      </c>
    </row>
    <row r="60" spans="1:33" s="255" customFormat="1" ht="20.149999999999999" hidden="1" customHeight="1" outlineLevel="1" x14ac:dyDescent="0.55000000000000004">
      <c r="A60" s="261"/>
      <c r="B60" s="545" t="s">
        <v>20</v>
      </c>
      <c r="C60" s="356">
        <v>1359424976</v>
      </c>
      <c r="D60" s="356">
        <v>0</v>
      </c>
      <c r="E60" s="356">
        <v>0</v>
      </c>
      <c r="F60" s="356">
        <v>0</v>
      </c>
      <c r="G60" s="356">
        <v>0</v>
      </c>
      <c r="H60" s="356">
        <v>28768</v>
      </c>
      <c r="I60" s="356">
        <v>13552</v>
      </c>
      <c r="J60" s="356">
        <v>0</v>
      </c>
      <c r="K60" s="356">
        <v>0</v>
      </c>
      <c r="L60" s="356">
        <v>31834730</v>
      </c>
      <c r="M60" s="356">
        <v>5930582</v>
      </c>
      <c r="N60" s="385">
        <f t="shared" si="16"/>
        <v>37807632</v>
      </c>
      <c r="O60" s="158">
        <f t="shared" si="17"/>
        <v>1397232608</v>
      </c>
    </row>
    <row r="61" spans="1:33" s="255" customFormat="1" ht="20.149999999999999" hidden="1" customHeight="1" outlineLevel="1" x14ac:dyDescent="0.55000000000000004">
      <c r="A61" s="261"/>
      <c r="B61" s="545" t="s">
        <v>21</v>
      </c>
      <c r="C61" s="356">
        <v>462683465</v>
      </c>
      <c r="D61" s="356">
        <v>0</v>
      </c>
      <c r="E61" s="356">
        <v>40</v>
      </c>
      <c r="F61" s="356">
        <v>654</v>
      </c>
      <c r="G61" s="356">
        <v>0</v>
      </c>
      <c r="H61" s="356">
        <v>29446</v>
      </c>
      <c r="I61" s="356">
        <v>11785</v>
      </c>
      <c r="J61" s="356">
        <v>0</v>
      </c>
      <c r="K61" s="356">
        <v>0</v>
      </c>
      <c r="L61" s="356">
        <v>4249605</v>
      </c>
      <c r="M61" s="356">
        <v>276333</v>
      </c>
      <c r="N61" s="385">
        <f t="shared" si="16"/>
        <v>4567863</v>
      </c>
      <c r="O61" s="158">
        <f t="shared" si="17"/>
        <v>467251328</v>
      </c>
    </row>
    <row r="62" spans="1:33" s="255" customFormat="1" ht="20.149999999999999" hidden="1" customHeight="1" outlineLevel="1" x14ac:dyDescent="0.55000000000000004">
      <c r="A62" s="261"/>
      <c r="B62" s="545" t="s">
        <v>22</v>
      </c>
      <c r="C62" s="356">
        <v>682807917</v>
      </c>
      <c r="D62" s="356">
        <v>5994010</v>
      </c>
      <c r="E62" s="356">
        <v>549771</v>
      </c>
      <c r="F62" s="356">
        <v>23343</v>
      </c>
      <c r="G62" s="356">
        <v>13995</v>
      </c>
      <c r="H62" s="356">
        <v>2533726</v>
      </c>
      <c r="I62" s="356">
        <v>334218</v>
      </c>
      <c r="J62" s="356">
        <v>10548329</v>
      </c>
      <c r="K62" s="356">
        <v>0</v>
      </c>
      <c r="L62" s="356">
        <v>4512545</v>
      </c>
      <c r="M62" s="356">
        <v>19484722</v>
      </c>
      <c r="N62" s="385">
        <f t="shared" si="16"/>
        <v>43994659</v>
      </c>
      <c r="O62" s="158">
        <f t="shared" si="17"/>
        <v>726802576</v>
      </c>
    </row>
    <row r="63" spans="1:33" s="255" customFormat="1" ht="20.149999999999999" hidden="1" customHeight="1" outlineLevel="1" x14ac:dyDescent="0.55000000000000004">
      <c r="A63" s="261"/>
      <c r="B63" s="545" t="s">
        <v>23</v>
      </c>
      <c r="C63" s="356">
        <v>346298269</v>
      </c>
      <c r="D63" s="356">
        <v>0</v>
      </c>
      <c r="E63" s="356">
        <v>265</v>
      </c>
      <c r="F63" s="356">
        <v>0</v>
      </c>
      <c r="G63" s="356">
        <v>0</v>
      </c>
      <c r="H63" s="356">
        <v>272449</v>
      </c>
      <c r="I63" s="356">
        <v>0</v>
      </c>
      <c r="J63" s="356">
        <v>0</v>
      </c>
      <c r="K63" s="356">
        <v>0</v>
      </c>
      <c r="L63" s="356">
        <v>3071654</v>
      </c>
      <c r="M63" s="356">
        <v>1197096</v>
      </c>
      <c r="N63" s="385">
        <f t="shared" si="16"/>
        <v>4541464</v>
      </c>
      <c r="O63" s="158">
        <f t="shared" si="17"/>
        <v>350839733</v>
      </c>
    </row>
    <row r="64" spans="1:33" s="255" customFormat="1" ht="20.149999999999999" hidden="1" customHeight="1" outlineLevel="1" x14ac:dyDescent="0.55000000000000004">
      <c r="A64" s="261"/>
      <c r="B64" s="545" t="s">
        <v>24</v>
      </c>
      <c r="C64" s="356">
        <v>645691846</v>
      </c>
      <c r="D64" s="356">
        <v>1690932</v>
      </c>
      <c r="E64" s="356">
        <v>223137</v>
      </c>
      <c r="F64" s="356">
        <v>0</v>
      </c>
      <c r="G64" s="356">
        <v>503</v>
      </c>
      <c r="H64" s="356">
        <v>574440</v>
      </c>
      <c r="I64" s="356">
        <v>216940</v>
      </c>
      <c r="J64" s="356">
        <v>0</v>
      </c>
      <c r="K64" s="356">
        <v>0</v>
      </c>
      <c r="L64" s="356">
        <v>7821204</v>
      </c>
      <c r="M64" s="356">
        <v>4799185</v>
      </c>
      <c r="N64" s="385">
        <f t="shared" si="16"/>
        <v>15326341</v>
      </c>
      <c r="O64" s="158">
        <f t="shared" si="17"/>
        <v>661018187</v>
      </c>
    </row>
    <row r="65" spans="1:33" s="255" customFormat="1" ht="20.149999999999999" hidden="1" customHeight="1" outlineLevel="1" x14ac:dyDescent="0.55000000000000004">
      <c r="A65" s="261"/>
      <c r="B65" s="545" t="s">
        <v>25</v>
      </c>
      <c r="C65" s="356">
        <v>822965034</v>
      </c>
      <c r="D65" s="356">
        <v>1632664</v>
      </c>
      <c r="E65" s="356">
        <v>680200</v>
      </c>
      <c r="F65" s="356">
        <v>0</v>
      </c>
      <c r="G65" s="356">
        <v>5763</v>
      </c>
      <c r="H65" s="356">
        <v>2353442</v>
      </c>
      <c r="I65" s="356">
        <v>335841</v>
      </c>
      <c r="J65" s="356">
        <v>5836581</v>
      </c>
      <c r="K65" s="356">
        <v>0</v>
      </c>
      <c r="L65" s="356">
        <v>9556042</v>
      </c>
      <c r="M65" s="356">
        <v>22737212</v>
      </c>
      <c r="N65" s="385">
        <f t="shared" si="16"/>
        <v>43137745</v>
      </c>
      <c r="O65" s="158">
        <f t="shared" si="17"/>
        <v>866102779</v>
      </c>
    </row>
    <row r="66" spans="1:33" s="255" customFormat="1" ht="20.149999999999999" hidden="1" customHeight="1" outlineLevel="1" x14ac:dyDescent="0.55000000000000004">
      <c r="A66" s="261"/>
      <c r="B66" s="545" t="s">
        <v>26</v>
      </c>
      <c r="C66" s="356">
        <v>1026318851</v>
      </c>
      <c r="D66" s="356">
        <v>7583794</v>
      </c>
      <c r="E66" s="356">
        <v>3514550</v>
      </c>
      <c r="F66" s="356">
        <v>110</v>
      </c>
      <c r="G66" s="356">
        <v>5562</v>
      </c>
      <c r="H66" s="356">
        <v>413682</v>
      </c>
      <c r="I66" s="356">
        <v>73891</v>
      </c>
      <c r="J66" s="356">
        <v>3837161</v>
      </c>
      <c r="K66" s="356">
        <v>0</v>
      </c>
      <c r="L66" s="356">
        <v>2158586</v>
      </c>
      <c r="M66" s="356">
        <v>37915999</v>
      </c>
      <c r="N66" s="385">
        <f t="shared" si="16"/>
        <v>55503335</v>
      </c>
      <c r="O66" s="158">
        <f t="shared" si="17"/>
        <v>1081822186</v>
      </c>
    </row>
    <row r="67" spans="1:33" s="255" customFormat="1" ht="20.149999999999999" customHeight="1" collapsed="1" x14ac:dyDescent="0.55000000000000004">
      <c r="A67" s="21"/>
      <c r="B67" s="354" t="s">
        <v>127</v>
      </c>
      <c r="C67" s="356">
        <v>7573102345</v>
      </c>
      <c r="D67" s="356">
        <v>17526699</v>
      </c>
      <c r="E67" s="356">
        <v>5380584</v>
      </c>
      <c r="F67" s="356">
        <v>24108</v>
      </c>
      <c r="G67" s="356">
        <v>34188</v>
      </c>
      <c r="H67" s="356">
        <v>7517633</v>
      </c>
      <c r="I67" s="356">
        <v>985139</v>
      </c>
      <c r="J67" s="356">
        <v>21843298</v>
      </c>
      <c r="K67" s="356">
        <v>405748</v>
      </c>
      <c r="L67" s="356">
        <v>99698780</v>
      </c>
      <c r="M67" s="356">
        <v>109846799</v>
      </c>
      <c r="N67" s="385">
        <f t="shared" si="10"/>
        <v>263262976</v>
      </c>
      <c r="O67" s="158">
        <f t="shared" si="11"/>
        <v>7836365321</v>
      </c>
      <c r="P67" s="253"/>
      <c r="Q67" s="40"/>
      <c r="R67" s="40"/>
      <c r="S67" s="40"/>
      <c r="T67" s="40"/>
      <c r="U67" s="40"/>
      <c r="V67" s="40"/>
      <c r="W67" s="40"/>
      <c r="X67" s="40"/>
      <c r="Y67" s="40"/>
      <c r="Z67" s="40"/>
      <c r="AA67" s="40"/>
      <c r="AB67" s="40"/>
      <c r="AC67" s="40"/>
      <c r="AD67" s="40"/>
      <c r="AE67" s="40"/>
      <c r="AF67" s="40"/>
      <c r="AG67" s="40"/>
    </row>
    <row r="68" spans="1:33" ht="20.149999999999999" customHeight="1" x14ac:dyDescent="0.3">
      <c r="A68" s="2"/>
      <c r="B68" s="548" t="s">
        <v>1101</v>
      </c>
      <c r="C68" s="543"/>
      <c r="D68" s="543"/>
      <c r="E68" s="543"/>
      <c r="F68" s="543"/>
      <c r="G68" s="543"/>
      <c r="H68" s="543"/>
      <c r="I68" s="543"/>
      <c r="J68" s="543"/>
      <c r="K68" s="543"/>
      <c r="L68" s="543"/>
      <c r="M68" s="543"/>
      <c r="N68" s="543"/>
      <c r="O68" s="543"/>
    </row>
    <row r="69" spans="1:33" s="255" customFormat="1" ht="20.149999999999999" hidden="1" customHeight="1" outlineLevel="1" x14ac:dyDescent="0.55000000000000004">
      <c r="A69" s="34"/>
      <c r="B69" s="544" t="s">
        <v>18</v>
      </c>
      <c r="C69" s="615">
        <v>1451655583</v>
      </c>
      <c r="D69" s="615">
        <v>163765</v>
      </c>
      <c r="E69" s="615">
        <v>114436</v>
      </c>
      <c r="F69" s="615">
        <v>0</v>
      </c>
      <c r="G69" s="615">
        <v>0</v>
      </c>
      <c r="H69" s="615">
        <v>795317</v>
      </c>
      <c r="I69" s="615">
        <v>0</v>
      </c>
      <c r="J69" s="615">
        <v>1292685</v>
      </c>
      <c r="K69" s="615">
        <v>0</v>
      </c>
      <c r="L69" s="615">
        <v>21622556</v>
      </c>
      <c r="M69" s="615">
        <v>5954417</v>
      </c>
      <c r="N69" s="384">
        <f t="shared" ref="N69:N77" si="18">SUM(D69:M69)</f>
        <v>29943176</v>
      </c>
      <c r="O69" s="157">
        <f t="shared" ref="O69:O77" si="19">N69+C69</f>
        <v>1481598759</v>
      </c>
    </row>
    <row r="70" spans="1:33" s="255" customFormat="1" ht="20.149999999999999" hidden="1" customHeight="1" outlineLevel="1" x14ac:dyDescent="0.55000000000000004">
      <c r="A70" s="34"/>
      <c r="B70" s="545" t="s">
        <v>19</v>
      </c>
      <c r="C70" s="361">
        <v>770321998</v>
      </c>
      <c r="D70" s="361">
        <v>0</v>
      </c>
      <c r="E70" s="361">
        <v>0</v>
      </c>
      <c r="F70" s="361">
        <v>0</v>
      </c>
      <c r="G70" s="361">
        <v>8107</v>
      </c>
      <c r="H70" s="361">
        <v>470247</v>
      </c>
      <c r="I70" s="361">
        <v>0</v>
      </c>
      <c r="J70" s="361">
        <v>327627</v>
      </c>
      <c r="K70" s="361">
        <v>405748</v>
      </c>
      <c r="L70" s="361">
        <v>13871746</v>
      </c>
      <c r="M70" s="361">
        <v>10103036</v>
      </c>
      <c r="N70" s="384">
        <f t="shared" si="18"/>
        <v>25186511</v>
      </c>
      <c r="O70" s="157">
        <f t="shared" si="19"/>
        <v>795508509</v>
      </c>
    </row>
    <row r="71" spans="1:33" s="255" customFormat="1" ht="20.149999999999999" hidden="1" customHeight="1" outlineLevel="1" x14ac:dyDescent="0.55000000000000004">
      <c r="A71" s="261"/>
      <c r="B71" s="545" t="s">
        <v>20</v>
      </c>
      <c r="C71" s="615">
        <v>1358059566</v>
      </c>
      <c r="D71" s="615">
        <v>0</v>
      </c>
      <c r="E71" s="615">
        <v>0</v>
      </c>
      <c r="F71" s="615">
        <v>0</v>
      </c>
      <c r="G71" s="615">
        <v>0</v>
      </c>
      <c r="H71" s="615">
        <v>29159</v>
      </c>
      <c r="I71" s="615">
        <v>13890</v>
      </c>
      <c r="J71" s="615">
        <v>0</v>
      </c>
      <c r="K71" s="615">
        <v>0</v>
      </c>
      <c r="L71" s="615">
        <v>32965860</v>
      </c>
      <c r="M71" s="615">
        <v>4944703</v>
      </c>
      <c r="N71" s="384">
        <f t="shared" si="18"/>
        <v>37953612</v>
      </c>
      <c r="O71" s="157">
        <f t="shared" si="19"/>
        <v>1396013178</v>
      </c>
    </row>
    <row r="72" spans="1:33" s="255" customFormat="1" ht="20.149999999999999" hidden="1" customHeight="1" outlineLevel="1" x14ac:dyDescent="0.55000000000000004">
      <c r="A72" s="261"/>
      <c r="B72" s="545" t="s">
        <v>21</v>
      </c>
      <c r="C72" s="615">
        <v>463332253</v>
      </c>
      <c r="D72" s="615">
        <v>0</v>
      </c>
      <c r="E72" s="615">
        <v>40</v>
      </c>
      <c r="F72" s="615">
        <v>654</v>
      </c>
      <c r="G72" s="615">
        <v>0</v>
      </c>
      <c r="H72" s="615">
        <v>28641</v>
      </c>
      <c r="I72" s="615">
        <v>12033</v>
      </c>
      <c r="J72" s="615">
        <v>0</v>
      </c>
      <c r="K72" s="615">
        <v>0</v>
      </c>
      <c r="L72" s="615">
        <v>4210166</v>
      </c>
      <c r="M72" s="615">
        <v>264511</v>
      </c>
      <c r="N72" s="384">
        <f t="shared" si="18"/>
        <v>4516045</v>
      </c>
      <c r="O72" s="157">
        <f t="shared" si="19"/>
        <v>467848298</v>
      </c>
    </row>
    <row r="73" spans="1:33" s="255" customFormat="1" ht="20.149999999999999" hidden="1" customHeight="1" outlineLevel="1" x14ac:dyDescent="0.55000000000000004">
      <c r="A73" s="261"/>
      <c r="B73" s="545" t="s">
        <v>22</v>
      </c>
      <c r="C73" s="615">
        <v>685462106</v>
      </c>
      <c r="D73" s="615">
        <v>6089835</v>
      </c>
      <c r="E73" s="615">
        <v>557791</v>
      </c>
      <c r="F73" s="615">
        <v>23343</v>
      </c>
      <c r="G73" s="615">
        <v>14242</v>
      </c>
      <c r="H73" s="615">
        <v>2569037</v>
      </c>
      <c r="I73" s="615">
        <v>337353</v>
      </c>
      <c r="J73" s="615">
        <v>10549242</v>
      </c>
      <c r="K73" s="615">
        <v>0</v>
      </c>
      <c r="L73" s="615">
        <v>4514819</v>
      </c>
      <c r="M73" s="615">
        <v>19317092</v>
      </c>
      <c r="N73" s="384">
        <f t="shared" si="18"/>
        <v>43972754</v>
      </c>
      <c r="O73" s="157">
        <f t="shared" si="19"/>
        <v>729434860</v>
      </c>
    </row>
    <row r="74" spans="1:33" s="255" customFormat="1" ht="20.149999999999999" hidden="1" customHeight="1" outlineLevel="1" x14ac:dyDescent="0.55000000000000004">
      <c r="A74" s="261"/>
      <c r="B74" s="545" t="s">
        <v>23</v>
      </c>
      <c r="C74" s="615">
        <v>347128675</v>
      </c>
      <c r="D74" s="615">
        <v>0</v>
      </c>
      <c r="E74" s="615">
        <v>265</v>
      </c>
      <c r="F74" s="615">
        <v>0</v>
      </c>
      <c r="G74" s="615">
        <v>0</v>
      </c>
      <c r="H74" s="615">
        <v>281324</v>
      </c>
      <c r="I74" s="615">
        <v>0</v>
      </c>
      <c r="J74" s="615">
        <v>0</v>
      </c>
      <c r="K74" s="615">
        <v>0</v>
      </c>
      <c r="L74" s="615">
        <v>2980188</v>
      </c>
      <c r="M74" s="615">
        <v>1245951</v>
      </c>
      <c r="N74" s="384">
        <f t="shared" si="18"/>
        <v>4507728</v>
      </c>
      <c r="O74" s="157">
        <f t="shared" si="19"/>
        <v>351636403</v>
      </c>
    </row>
    <row r="75" spans="1:33" s="255" customFormat="1" ht="20.149999999999999" hidden="1" customHeight="1" outlineLevel="1" x14ac:dyDescent="0.55000000000000004">
      <c r="A75" s="261"/>
      <c r="B75" s="545" t="s">
        <v>24</v>
      </c>
      <c r="C75" s="369">
        <v>648234763</v>
      </c>
      <c r="D75" s="369">
        <v>1742137</v>
      </c>
      <c r="E75" s="369">
        <v>220837</v>
      </c>
      <c r="F75" s="369">
        <v>0</v>
      </c>
      <c r="G75" s="369">
        <v>514</v>
      </c>
      <c r="H75" s="369">
        <v>583493</v>
      </c>
      <c r="I75" s="369">
        <v>206632</v>
      </c>
      <c r="J75" s="369">
        <v>0</v>
      </c>
      <c r="K75" s="369">
        <v>0</v>
      </c>
      <c r="L75" s="369">
        <v>7810210</v>
      </c>
      <c r="M75" s="369">
        <v>4971820</v>
      </c>
      <c r="N75" s="610">
        <f t="shared" si="18"/>
        <v>15535643</v>
      </c>
      <c r="O75" s="619">
        <f t="shared" si="19"/>
        <v>663770406</v>
      </c>
    </row>
    <row r="76" spans="1:33" s="255" customFormat="1" ht="20.149999999999999" hidden="1" customHeight="1" outlineLevel="1" x14ac:dyDescent="0.55000000000000004">
      <c r="A76" s="261"/>
      <c r="B76" s="545" t="s">
        <v>25</v>
      </c>
      <c r="C76" s="615">
        <v>824499216</v>
      </c>
      <c r="D76" s="615">
        <v>1644541</v>
      </c>
      <c r="E76" s="615">
        <v>676779</v>
      </c>
      <c r="F76" s="615">
        <v>0</v>
      </c>
      <c r="G76" s="615">
        <v>5763</v>
      </c>
      <c r="H76" s="615">
        <v>2345698</v>
      </c>
      <c r="I76" s="615">
        <v>337946</v>
      </c>
      <c r="J76" s="615">
        <v>5836581</v>
      </c>
      <c r="K76" s="615">
        <v>0</v>
      </c>
      <c r="L76" s="615">
        <v>9556410</v>
      </c>
      <c r="M76" s="615">
        <v>24932171</v>
      </c>
      <c r="N76" s="384">
        <f t="shared" si="18"/>
        <v>45335889</v>
      </c>
      <c r="O76" s="157">
        <f t="shared" si="19"/>
        <v>869835105</v>
      </c>
    </row>
    <row r="77" spans="1:33" s="255" customFormat="1" ht="20.149999999999999" hidden="1" customHeight="1" outlineLevel="1" x14ac:dyDescent="0.55000000000000004">
      <c r="A77" s="261"/>
      <c r="B77" s="545" t="s">
        <v>26</v>
      </c>
      <c r="C77" s="361">
        <v>1024408183</v>
      </c>
      <c r="D77" s="361">
        <v>7886420</v>
      </c>
      <c r="E77" s="361">
        <v>3810435</v>
      </c>
      <c r="F77" s="361">
        <v>110</v>
      </c>
      <c r="G77" s="361">
        <v>5562</v>
      </c>
      <c r="H77" s="361">
        <v>414717</v>
      </c>
      <c r="I77" s="361">
        <v>77285</v>
      </c>
      <c r="J77" s="361">
        <v>3837161</v>
      </c>
      <c r="K77" s="361">
        <v>0</v>
      </c>
      <c r="L77" s="361">
        <v>2167827</v>
      </c>
      <c r="M77" s="361">
        <v>38113098</v>
      </c>
      <c r="N77" s="385">
        <f t="shared" si="18"/>
        <v>56312615</v>
      </c>
      <c r="O77" s="158">
        <f t="shared" si="19"/>
        <v>1080720798</v>
      </c>
    </row>
    <row r="78" spans="1:33" s="255" customFormat="1" ht="20.149999999999999" customHeight="1" collapsed="1" x14ac:dyDescent="0.55000000000000004">
      <c r="A78" s="21"/>
      <c r="B78" s="354" t="s">
        <v>40</v>
      </c>
      <c r="C78" s="356">
        <v>7581951877</v>
      </c>
      <c r="D78" s="356">
        <v>18686687</v>
      </c>
      <c r="E78" s="356">
        <v>5412661</v>
      </c>
      <c r="F78" s="356">
        <v>24108</v>
      </c>
      <c r="G78" s="356">
        <v>34634</v>
      </c>
      <c r="H78" s="356">
        <v>7568035</v>
      </c>
      <c r="I78" s="356">
        <v>1043197</v>
      </c>
      <c r="J78" s="356">
        <v>22051512</v>
      </c>
      <c r="K78" s="356">
        <v>405748</v>
      </c>
      <c r="L78" s="356">
        <v>99845431</v>
      </c>
      <c r="M78" s="356">
        <v>111754641</v>
      </c>
      <c r="N78" s="385">
        <f t="shared" si="10"/>
        <v>266826654</v>
      </c>
      <c r="O78" s="158">
        <f t="shared" si="11"/>
        <v>7848778531</v>
      </c>
      <c r="P78" s="253"/>
      <c r="Q78" s="40"/>
      <c r="R78" s="40"/>
      <c r="S78" s="40"/>
      <c r="T78" s="40"/>
      <c r="U78" s="40"/>
      <c r="V78" s="40"/>
      <c r="W78" s="40"/>
      <c r="X78" s="40"/>
      <c r="Y78" s="40"/>
      <c r="Z78" s="40"/>
      <c r="AA78" s="40"/>
      <c r="AB78" s="40"/>
      <c r="AC78" s="40"/>
      <c r="AD78" s="40"/>
      <c r="AE78" s="40"/>
      <c r="AF78" s="40"/>
      <c r="AG78" s="40"/>
    </row>
    <row r="79" spans="1:33" s="255" customFormat="1" ht="20.149999999999999" customHeight="1" x14ac:dyDescent="0.55000000000000004">
      <c r="A79" s="21"/>
      <c r="B79" s="614" t="s">
        <v>3</v>
      </c>
      <c r="C79" s="615">
        <v>7238310872</v>
      </c>
      <c r="D79" s="615">
        <v>19686593</v>
      </c>
      <c r="E79" s="615">
        <v>5806857</v>
      </c>
      <c r="F79" s="615">
        <v>23664</v>
      </c>
      <c r="G79" s="615">
        <v>34650</v>
      </c>
      <c r="H79" s="615">
        <v>7580939</v>
      </c>
      <c r="I79" s="615">
        <v>1027523</v>
      </c>
      <c r="J79" s="615">
        <v>24069364</v>
      </c>
      <c r="K79" s="615">
        <v>507136</v>
      </c>
      <c r="L79" s="615">
        <v>93186716</v>
      </c>
      <c r="M79" s="615">
        <v>110564581</v>
      </c>
      <c r="N79" s="616">
        <f t="shared" si="10"/>
        <v>262488023</v>
      </c>
      <c r="O79" s="617">
        <f t="shared" si="11"/>
        <v>7500798895</v>
      </c>
      <c r="P79" s="253"/>
      <c r="Q79" s="40"/>
      <c r="R79" s="40"/>
      <c r="S79" s="40"/>
      <c r="T79" s="40"/>
      <c r="U79" s="40"/>
      <c r="V79" s="40"/>
      <c r="W79" s="40"/>
      <c r="X79" s="40"/>
      <c r="Y79" s="40"/>
      <c r="Z79" s="40"/>
      <c r="AA79" s="40"/>
      <c r="AB79" s="40"/>
      <c r="AC79" s="40"/>
      <c r="AD79" s="40"/>
      <c r="AE79" s="40"/>
      <c r="AF79" s="40"/>
      <c r="AG79" s="40"/>
    </row>
  </sheetData>
  <sortState ref="B66:O68">
    <sortCondition descending="1" ref="B66"/>
  </sortState>
  <customSheetViews>
    <customSheetView guid="{501209ED-4B79-4E52-B95E-748E5E77E24F}" scale="98" hiddenRows="1">
      <pane xSplit="2" ySplit="10" topLeftCell="C11" activePane="bottomRight" state="frozen"/>
      <selection pane="bottomRight" activeCell="C14" sqref="C14:M22"/>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1">
    <mergeCell ref="J10:M10"/>
  </mergeCells>
  <phoneticPr fontId="1"/>
  <conditionalFormatting sqref="N23:O23 C34:O34 C45:O45 C56:O56 C67:O67 C78:O79">
    <cfRule type="containsBlanks" dxfId="310" priority="47">
      <formula>LEN(TRIM(C23))=0</formula>
    </cfRule>
  </conditionalFormatting>
  <conditionalFormatting sqref="C36:O36">
    <cfRule type="containsBlanks" dxfId="309" priority="44">
      <formula>LEN(TRIM(C36))=0</formula>
    </cfRule>
  </conditionalFormatting>
  <conditionalFormatting sqref="C37:O37">
    <cfRule type="containsBlanks" dxfId="308" priority="43">
      <formula>LEN(TRIM(C37))=0</formula>
    </cfRule>
  </conditionalFormatting>
  <conditionalFormatting sqref="C38:O38">
    <cfRule type="containsBlanks" dxfId="307" priority="42">
      <formula>LEN(TRIM(C38))=0</formula>
    </cfRule>
  </conditionalFormatting>
  <conditionalFormatting sqref="C39:O39">
    <cfRule type="containsBlanks" dxfId="306" priority="41">
      <formula>LEN(TRIM(C39))=0</formula>
    </cfRule>
  </conditionalFormatting>
  <conditionalFormatting sqref="C40:O40">
    <cfRule type="containsBlanks" dxfId="305" priority="40">
      <formula>LEN(TRIM(C40))=0</formula>
    </cfRule>
  </conditionalFormatting>
  <conditionalFormatting sqref="C41:O41">
    <cfRule type="containsBlanks" dxfId="304" priority="39">
      <formula>LEN(TRIM(C41))=0</formula>
    </cfRule>
  </conditionalFormatting>
  <conditionalFormatting sqref="C42:O42">
    <cfRule type="containsBlanks" dxfId="303" priority="38">
      <formula>LEN(TRIM(C42))=0</formula>
    </cfRule>
  </conditionalFormatting>
  <conditionalFormatting sqref="C43:O43">
    <cfRule type="containsBlanks" dxfId="302" priority="37">
      <formula>LEN(TRIM(C43))=0</formula>
    </cfRule>
  </conditionalFormatting>
  <conditionalFormatting sqref="C44:O44">
    <cfRule type="containsBlanks" dxfId="301" priority="36">
      <formula>LEN(TRIM(C44))=0</formula>
    </cfRule>
  </conditionalFormatting>
  <conditionalFormatting sqref="C47:O47">
    <cfRule type="containsBlanks" dxfId="300" priority="34">
      <formula>LEN(TRIM(C47))=0</formula>
    </cfRule>
  </conditionalFormatting>
  <conditionalFormatting sqref="C48:O48">
    <cfRule type="containsBlanks" dxfId="299" priority="33">
      <formula>LEN(TRIM(C48))=0</formula>
    </cfRule>
  </conditionalFormatting>
  <conditionalFormatting sqref="C49:O49">
    <cfRule type="containsBlanks" dxfId="298" priority="32">
      <formula>LEN(TRIM(C49))=0</formula>
    </cfRule>
  </conditionalFormatting>
  <conditionalFormatting sqref="C50:O50">
    <cfRule type="containsBlanks" dxfId="297" priority="31">
      <formula>LEN(TRIM(C50))=0</formula>
    </cfRule>
  </conditionalFormatting>
  <conditionalFormatting sqref="C51:O51">
    <cfRule type="containsBlanks" dxfId="296" priority="30">
      <formula>LEN(TRIM(C51))=0</formula>
    </cfRule>
  </conditionalFormatting>
  <conditionalFormatting sqref="C52:O52">
    <cfRule type="containsBlanks" dxfId="295" priority="29">
      <formula>LEN(TRIM(C52))=0</formula>
    </cfRule>
  </conditionalFormatting>
  <conditionalFormatting sqref="C53:O53">
    <cfRule type="containsBlanks" dxfId="294" priority="28">
      <formula>LEN(TRIM(C53))=0</formula>
    </cfRule>
  </conditionalFormatting>
  <conditionalFormatting sqref="C54:O54">
    <cfRule type="containsBlanks" dxfId="293" priority="27">
      <formula>LEN(TRIM(C54))=0</formula>
    </cfRule>
  </conditionalFormatting>
  <conditionalFormatting sqref="C55:O55">
    <cfRule type="containsBlanks" dxfId="292" priority="26">
      <formula>LEN(TRIM(C55))=0</formula>
    </cfRule>
  </conditionalFormatting>
  <conditionalFormatting sqref="C58:O58">
    <cfRule type="containsBlanks" dxfId="291" priority="24">
      <formula>LEN(TRIM(C58))=0</formula>
    </cfRule>
  </conditionalFormatting>
  <conditionalFormatting sqref="C59:O59">
    <cfRule type="containsBlanks" dxfId="290" priority="23">
      <formula>LEN(TRIM(C59))=0</formula>
    </cfRule>
  </conditionalFormatting>
  <conditionalFormatting sqref="C60:O60">
    <cfRule type="containsBlanks" dxfId="289" priority="22">
      <formula>LEN(TRIM(C60))=0</formula>
    </cfRule>
  </conditionalFormatting>
  <conditionalFormatting sqref="C61:O61">
    <cfRule type="containsBlanks" dxfId="288" priority="21">
      <formula>LEN(TRIM(C61))=0</formula>
    </cfRule>
  </conditionalFormatting>
  <conditionalFormatting sqref="C62:O62">
    <cfRule type="containsBlanks" dxfId="287" priority="20">
      <formula>LEN(TRIM(C62))=0</formula>
    </cfRule>
  </conditionalFormatting>
  <conditionalFormatting sqref="C63:O63">
    <cfRule type="containsBlanks" dxfId="286" priority="19">
      <formula>LEN(TRIM(C63))=0</formula>
    </cfRule>
  </conditionalFormatting>
  <conditionalFormatting sqref="C64:O64">
    <cfRule type="containsBlanks" dxfId="285" priority="18">
      <formula>LEN(TRIM(C64))=0</formula>
    </cfRule>
  </conditionalFormatting>
  <conditionalFormatting sqref="C65:O65">
    <cfRule type="containsBlanks" dxfId="284" priority="17">
      <formula>LEN(TRIM(C65))=0</formula>
    </cfRule>
  </conditionalFormatting>
  <conditionalFormatting sqref="C66:O66">
    <cfRule type="containsBlanks" dxfId="283" priority="16">
      <formula>LEN(TRIM(C66))=0</formula>
    </cfRule>
  </conditionalFormatting>
  <conditionalFormatting sqref="C69:O69">
    <cfRule type="containsBlanks" dxfId="282" priority="14">
      <formula>LEN(TRIM(C69))=0</formula>
    </cfRule>
  </conditionalFormatting>
  <conditionalFormatting sqref="C70:O70">
    <cfRule type="containsBlanks" dxfId="281" priority="13">
      <formula>LEN(TRIM(C70))=0</formula>
    </cfRule>
  </conditionalFormatting>
  <conditionalFormatting sqref="C71:O71">
    <cfRule type="containsBlanks" dxfId="280" priority="12">
      <formula>LEN(TRIM(C71))=0</formula>
    </cfRule>
  </conditionalFormatting>
  <conditionalFormatting sqref="C72:O72">
    <cfRule type="containsBlanks" dxfId="279" priority="11">
      <formula>LEN(TRIM(C72))=0</formula>
    </cfRule>
  </conditionalFormatting>
  <conditionalFormatting sqref="C73:O73">
    <cfRule type="containsBlanks" dxfId="278" priority="10">
      <formula>LEN(TRIM(C73))=0</formula>
    </cfRule>
  </conditionalFormatting>
  <conditionalFormatting sqref="C74:O74">
    <cfRule type="containsBlanks" dxfId="277" priority="9">
      <formula>LEN(TRIM(C74))=0</formula>
    </cfRule>
  </conditionalFormatting>
  <conditionalFormatting sqref="C75:O75">
    <cfRule type="containsBlanks" dxfId="276" priority="8">
      <formula>LEN(TRIM(C75))=0</formula>
    </cfRule>
  </conditionalFormatting>
  <conditionalFormatting sqref="C76:O76">
    <cfRule type="containsBlanks" dxfId="275" priority="7">
      <formula>LEN(TRIM(C76))=0</formula>
    </cfRule>
  </conditionalFormatting>
  <conditionalFormatting sqref="C77:O77">
    <cfRule type="containsBlanks" dxfId="274" priority="6">
      <formula>LEN(TRIM(C77))=0</formula>
    </cfRule>
  </conditionalFormatting>
  <conditionalFormatting sqref="C23:M23">
    <cfRule type="containsBlanks" dxfId="273" priority="5">
      <formula>LEN(TRIM(C23))=0</formula>
    </cfRule>
  </conditionalFormatting>
  <conditionalFormatting sqref="N12:O12">
    <cfRule type="containsBlanks" dxfId="272" priority="3">
      <formula>LEN(TRIM(N12))=0</formula>
    </cfRule>
  </conditionalFormatting>
  <conditionalFormatting sqref="C12:M12">
    <cfRule type="containsBlanks" dxfId="271" priority="2">
      <formula>LEN(TRIM(C12))=0</formula>
    </cfRule>
  </conditionalFormatting>
  <conditionalFormatting sqref="C14:M22">
    <cfRule type="containsBlanks" dxfId="270" priority="48">
      <formula>LEN(TRIM(C14))=0</formula>
    </cfRule>
  </conditionalFormatting>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extLst>
    <ext xmlns:x14="http://schemas.microsoft.com/office/spreadsheetml/2009/9/main" uri="{78C0D931-6437-407d-A8EE-F0AAD7539E65}">
      <x14:conditionalFormattings>
        <x14:conditionalFormatting xmlns:xm="http://schemas.microsoft.com/office/excel/2006/main">
          <x14:cfRule type="containsBlanks" priority="4" id="{C263B14A-8AD1-4C0A-98C8-A8CCB5F33B95}">
            <xm:f>LEN(TRIM('\\fs1.kobe.local\sec\201_固定資産税課（指導）\01_課税調整（庶務）\47 各種集計事務（税務統計、神戸市統計書）\税務統計\R5\01_各ライン回答\土地回答\[土地_R5税務統計書（抜粋）.xlsx]3(2)固定資産税（地目別地積の推移（土地））'!#REF!))=0</xm:f>
            <x14:dxf>
              <fill>
                <patternFill>
                  <bgColor rgb="FFFFFF00"/>
                </patternFill>
              </fill>
            </x14:dxf>
          </x14:cfRule>
          <xm:sqref>C25:M33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zoomScale="85" zoomScaleNormal="85" workbookViewId="0">
      <pane xSplit="2" ySplit="10" topLeftCell="C11" activePane="bottomRight" state="frozen"/>
      <selection pane="topRight" activeCell="C1" sqref="C1"/>
      <selection pane="bottomLeft" activeCell="A11" sqref="A11"/>
      <selection pane="bottomRight"/>
    </sheetView>
  </sheetViews>
  <sheetFormatPr defaultColWidth="8.58203125" defaultRowHeight="14.5" outlineLevelRow="1" x14ac:dyDescent="0.35"/>
  <cols>
    <col min="1" max="1" width="6.58203125" style="4" bestFit="1" customWidth="1"/>
    <col min="2" max="2" width="10.33203125" style="1" bestFit="1" customWidth="1"/>
    <col min="3" max="3" width="13.58203125" style="1" customWidth="1"/>
    <col min="4" max="4" width="10.58203125" style="2" customWidth="1"/>
    <col min="5" max="5" width="9.58203125" style="2" customWidth="1"/>
    <col min="6" max="6" width="7.58203125" style="4" customWidth="1"/>
    <col min="7" max="7" width="7.58203125" style="1" customWidth="1"/>
    <col min="8" max="8" width="9.58203125" style="1" customWidth="1"/>
    <col min="9" max="9" width="8.58203125" style="1" customWidth="1"/>
    <col min="10" max="10" width="11.83203125" style="1" customWidth="1"/>
    <col min="11" max="11" width="8.5" style="1" bestFit="1" customWidth="1"/>
    <col min="12" max="13" width="10.58203125" style="1" customWidth="1"/>
    <col min="14" max="14" width="11.58203125" style="1" customWidth="1"/>
    <col min="15" max="15" width="13.58203125" style="1" customWidth="1"/>
    <col min="16" max="16" width="11.33203125" style="1" customWidth="1"/>
    <col min="17" max="31" width="10.83203125" style="1" bestFit="1" customWidth="1"/>
    <col min="32" max="33" width="10.33203125" style="1" bestFit="1" customWidth="1"/>
    <col min="34" max="16384" width="8.58203125" style="1"/>
  </cols>
  <sheetData>
    <row r="1" spans="1:33" x14ac:dyDescent="0.35">
      <c r="A1" s="433" t="s">
        <v>438</v>
      </c>
      <c r="B1" s="433"/>
    </row>
    <row r="3" spans="1:33" s="253" customFormat="1" ht="20.149999999999999" customHeight="1" x14ac:dyDescent="0.55000000000000004">
      <c r="A3" s="252" t="s">
        <v>120</v>
      </c>
    </row>
    <row r="4" spans="1:33" s="253" customFormat="1" ht="20.149999999999999" customHeight="1" x14ac:dyDescent="0.55000000000000004">
      <c r="A4" s="252" t="s">
        <v>154</v>
      </c>
    </row>
    <row r="5" spans="1:33" s="253" customFormat="1" ht="14.5" customHeight="1" x14ac:dyDescent="0.55000000000000004">
      <c r="A5" s="46"/>
    </row>
    <row r="6" spans="1:33" s="253" customFormat="1" ht="14.5" customHeight="1" x14ac:dyDescent="0.55000000000000004">
      <c r="A6" s="17" t="s">
        <v>28</v>
      </c>
      <c r="B6" s="30" t="s">
        <v>1114</v>
      </c>
    </row>
    <row r="7" spans="1:33" s="253" customFormat="1" ht="14.5" customHeight="1" x14ac:dyDescent="0.55000000000000004">
      <c r="B7" s="30" t="s">
        <v>1115</v>
      </c>
    </row>
    <row r="8" spans="1:33" s="253" customFormat="1" ht="14.5" customHeight="1" x14ac:dyDescent="0.55000000000000004">
      <c r="A8" s="21"/>
      <c r="B8" s="30" t="s">
        <v>1116</v>
      </c>
    </row>
    <row r="9" spans="1:33" s="253" customFormat="1" ht="14.5" customHeight="1" x14ac:dyDescent="0.55000000000000004">
      <c r="A9" s="21"/>
      <c r="B9" s="30"/>
    </row>
    <row r="10" spans="1:33" s="255" customFormat="1" ht="17.5" x14ac:dyDescent="0.55000000000000004">
      <c r="A10" s="243" t="s">
        <v>153</v>
      </c>
      <c r="B10" s="327"/>
      <c r="D10" s="40"/>
      <c r="E10" s="40"/>
      <c r="F10" s="40"/>
      <c r="G10" s="40"/>
      <c r="H10" s="40"/>
      <c r="I10" s="40"/>
      <c r="J10" s="677" t="s">
        <v>144</v>
      </c>
      <c r="K10" s="678"/>
      <c r="L10" s="678"/>
      <c r="M10" s="679"/>
      <c r="N10" s="40"/>
      <c r="O10" s="40"/>
      <c r="P10" s="253"/>
      <c r="Q10" s="40"/>
      <c r="R10" s="40"/>
      <c r="S10" s="40"/>
      <c r="T10" s="40"/>
      <c r="U10" s="40"/>
      <c r="V10" s="40"/>
      <c r="W10" s="40"/>
      <c r="X10" s="40"/>
      <c r="Y10" s="40"/>
      <c r="Z10" s="40"/>
      <c r="AA10" s="40"/>
      <c r="AB10" s="40"/>
      <c r="AC10" s="40"/>
      <c r="AD10" s="40"/>
      <c r="AE10" s="40"/>
      <c r="AF10" s="40"/>
      <c r="AG10" s="40"/>
    </row>
    <row r="11" spans="1:33" s="21" customFormat="1" ht="29" x14ac:dyDescent="0.55000000000000004">
      <c r="B11" s="327"/>
      <c r="C11" s="611" t="s">
        <v>139</v>
      </c>
      <c r="D11" s="611" t="s">
        <v>137</v>
      </c>
      <c r="E11" s="611" t="s">
        <v>138</v>
      </c>
      <c r="F11" s="611" t="s">
        <v>140</v>
      </c>
      <c r="G11" s="611" t="s">
        <v>141</v>
      </c>
      <c r="H11" s="611" t="s">
        <v>142</v>
      </c>
      <c r="I11" s="611" t="s">
        <v>143</v>
      </c>
      <c r="J11" s="612" t="s">
        <v>145</v>
      </c>
      <c r="K11" s="612" t="s">
        <v>146</v>
      </c>
      <c r="L11" s="612" t="s">
        <v>147</v>
      </c>
      <c r="M11" s="613" t="s">
        <v>148</v>
      </c>
      <c r="N11" s="383" t="s">
        <v>149</v>
      </c>
      <c r="O11" s="375" t="s">
        <v>113</v>
      </c>
      <c r="P11" s="46"/>
      <c r="Q11" s="45"/>
      <c r="R11" s="45"/>
      <c r="S11" s="45"/>
      <c r="T11" s="45"/>
      <c r="U11" s="45"/>
      <c r="V11" s="45"/>
      <c r="W11" s="45"/>
      <c r="X11" s="45"/>
      <c r="Y11" s="45"/>
      <c r="Z11" s="45"/>
      <c r="AA11" s="45"/>
      <c r="AB11" s="45"/>
      <c r="AC11" s="45"/>
      <c r="AD11" s="45"/>
      <c r="AE11" s="45"/>
      <c r="AF11" s="45"/>
      <c r="AG11" s="45"/>
    </row>
    <row r="12" spans="1:33" s="255" customFormat="1" ht="20.149999999999999" customHeight="1" x14ac:dyDescent="0.55000000000000004">
      <c r="A12" s="21"/>
      <c r="B12" s="354" t="s">
        <v>1127</v>
      </c>
      <c r="C12" s="816">
        <f>SUM(C14:C22)</f>
        <v>2776155147.7079997</v>
      </c>
      <c r="D12" s="816">
        <f t="shared" ref="D12:M12" si="0">SUM(D14:D22)</f>
        <v>8825744.5809999984</v>
      </c>
      <c r="E12" s="816">
        <f t="shared" si="0"/>
        <v>1833369.3149999999</v>
      </c>
      <c r="F12" s="816">
        <f t="shared" si="0"/>
        <v>26379.026000000002</v>
      </c>
      <c r="G12" s="816">
        <f t="shared" si="0"/>
        <v>21592.935999999998</v>
      </c>
      <c r="H12" s="816">
        <f t="shared" si="0"/>
        <v>5188042.2180000003</v>
      </c>
      <c r="I12" s="816">
        <f t="shared" si="0"/>
        <v>504629.42799999996</v>
      </c>
      <c r="J12" s="816">
        <f t="shared" si="0"/>
        <v>13826619.039000001</v>
      </c>
      <c r="K12" s="816">
        <f t="shared" si="0"/>
        <v>272531.353</v>
      </c>
      <c r="L12" s="816">
        <f t="shared" si="0"/>
        <v>72350167.438999996</v>
      </c>
      <c r="M12" s="816">
        <f t="shared" si="0"/>
        <v>80509147.393999994</v>
      </c>
      <c r="N12" s="386">
        <f t="shared" ref="N12" si="1">SUM(D12:M12)</f>
        <v>183358222.72899997</v>
      </c>
      <c r="O12" s="819">
        <f t="shared" ref="O12" si="2">C12+N12</f>
        <v>2959513370.4369998</v>
      </c>
      <c r="P12" s="253"/>
      <c r="Q12" s="40"/>
      <c r="R12" s="40"/>
      <c r="S12" s="40"/>
      <c r="T12" s="40"/>
      <c r="U12" s="40"/>
      <c r="V12" s="40"/>
      <c r="W12" s="40"/>
      <c r="X12" s="40"/>
      <c r="Y12" s="40"/>
      <c r="Z12" s="40"/>
      <c r="AA12" s="40"/>
      <c r="AB12" s="40"/>
      <c r="AC12" s="40"/>
      <c r="AD12" s="40"/>
      <c r="AE12" s="40"/>
      <c r="AF12" s="40"/>
      <c r="AG12" s="40"/>
    </row>
    <row r="13" spans="1:33" ht="20.149999999999999" customHeight="1" x14ac:dyDescent="0.3">
      <c r="A13" s="2"/>
      <c r="B13" s="548" t="s">
        <v>1101</v>
      </c>
      <c r="C13" s="13"/>
      <c r="D13" s="13"/>
      <c r="E13" s="13"/>
      <c r="F13" s="13"/>
      <c r="G13" s="13"/>
      <c r="H13" s="13"/>
      <c r="I13" s="13"/>
      <c r="J13" s="13"/>
      <c r="K13" s="13"/>
      <c r="L13" s="13"/>
      <c r="M13" s="13"/>
      <c r="N13" s="13"/>
      <c r="O13" s="13"/>
    </row>
    <row r="14" spans="1:33" s="255" customFormat="1" ht="20.149999999999999" customHeight="1" outlineLevel="1" x14ac:dyDescent="0.55000000000000004">
      <c r="A14" s="34"/>
      <c r="B14" s="544" t="s">
        <v>18</v>
      </c>
      <c r="C14" s="367">
        <v>477897562.54000002</v>
      </c>
      <c r="D14" s="356">
        <v>306.08100000000002</v>
      </c>
      <c r="E14" s="356">
        <v>42353.9</v>
      </c>
      <c r="F14" s="356">
        <v>0</v>
      </c>
      <c r="G14" s="356">
        <v>0</v>
      </c>
      <c r="H14" s="356">
        <v>484685.88199999998</v>
      </c>
      <c r="I14" s="356">
        <v>0</v>
      </c>
      <c r="J14" s="356">
        <v>867176.50899999996</v>
      </c>
      <c r="K14" s="356">
        <v>0</v>
      </c>
      <c r="L14" s="370">
        <v>14621855.5</v>
      </c>
      <c r="M14" s="356">
        <v>2738697.5669999998</v>
      </c>
      <c r="N14" s="379">
        <f t="shared" ref="N14:N22" si="3">SUM(D14:M14)</f>
        <v>18755075.438999999</v>
      </c>
      <c r="O14" s="379">
        <f t="shared" ref="O14:O22" si="4">C14+N14</f>
        <v>496652637.97900003</v>
      </c>
    </row>
    <row r="15" spans="1:33" s="255" customFormat="1" ht="20.149999999999999" customHeight="1" outlineLevel="1" x14ac:dyDescent="0.55000000000000004">
      <c r="A15" s="34"/>
      <c r="B15" s="545" t="s">
        <v>19</v>
      </c>
      <c r="C15" s="367">
        <v>247505775.336</v>
      </c>
      <c r="D15" s="356">
        <v>0</v>
      </c>
      <c r="E15" s="356">
        <v>0</v>
      </c>
      <c r="F15" s="356">
        <v>0</v>
      </c>
      <c r="G15" s="356">
        <v>4028.096</v>
      </c>
      <c r="H15" s="356">
        <v>288607.51500000001</v>
      </c>
      <c r="I15" s="356">
        <v>0</v>
      </c>
      <c r="J15" s="356">
        <v>220059.56</v>
      </c>
      <c r="K15" s="356">
        <v>272531.353</v>
      </c>
      <c r="L15" s="370">
        <v>10364182.765000001</v>
      </c>
      <c r="M15" s="356">
        <v>6848642.9790000003</v>
      </c>
      <c r="N15" s="379">
        <f t="shared" si="3"/>
        <v>17998052.267999999</v>
      </c>
      <c r="O15" s="379">
        <f t="shared" si="4"/>
        <v>265503827.604</v>
      </c>
    </row>
    <row r="16" spans="1:33" s="255" customFormat="1" ht="20.149999999999999" customHeight="1" outlineLevel="1" x14ac:dyDescent="0.55000000000000004">
      <c r="A16" s="261"/>
      <c r="B16" s="545" t="s">
        <v>20</v>
      </c>
      <c r="C16" s="367">
        <v>776187185.32000005</v>
      </c>
      <c r="D16" s="356">
        <v>0</v>
      </c>
      <c r="E16" s="356">
        <v>0</v>
      </c>
      <c r="F16" s="356">
        <v>0</v>
      </c>
      <c r="G16" s="356">
        <v>0</v>
      </c>
      <c r="H16" s="356">
        <v>15052.266</v>
      </c>
      <c r="I16" s="356">
        <v>6197.1660000000002</v>
      </c>
      <c r="J16" s="356">
        <v>0</v>
      </c>
      <c r="K16" s="356">
        <v>0</v>
      </c>
      <c r="L16" s="370">
        <v>26026101.013999999</v>
      </c>
      <c r="M16" s="356">
        <v>12147563.767999999</v>
      </c>
      <c r="N16" s="379">
        <f t="shared" si="3"/>
        <v>38194914.214000002</v>
      </c>
      <c r="O16" s="379">
        <f t="shared" si="4"/>
        <v>814382099.53400004</v>
      </c>
    </row>
    <row r="17" spans="1:33" s="255" customFormat="1" ht="20.149999999999999" customHeight="1" outlineLevel="1" x14ac:dyDescent="0.55000000000000004">
      <c r="A17" s="261"/>
      <c r="B17" s="545" t="s">
        <v>21</v>
      </c>
      <c r="C17" s="367">
        <v>186590513.928</v>
      </c>
      <c r="D17" s="356">
        <v>0</v>
      </c>
      <c r="E17" s="356">
        <v>2336.6840000000002</v>
      </c>
      <c r="F17" s="356">
        <v>673.86900000000003</v>
      </c>
      <c r="G17" s="356">
        <v>0</v>
      </c>
      <c r="H17" s="356">
        <v>22942.167000000001</v>
      </c>
      <c r="I17" s="356">
        <v>7053.2370000000001</v>
      </c>
      <c r="J17" s="356">
        <v>0</v>
      </c>
      <c r="K17" s="356">
        <v>0</v>
      </c>
      <c r="L17" s="370">
        <v>2853288.1770000001</v>
      </c>
      <c r="M17" s="356">
        <v>267121.95400000003</v>
      </c>
      <c r="N17" s="379">
        <f t="shared" si="3"/>
        <v>3153416.088</v>
      </c>
      <c r="O17" s="379">
        <f t="shared" si="4"/>
        <v>189743930.016</v>
      </c>
    </row>
    <row r="18" spans="1:33" s="255" customFormat="1" ht="20.149999999999999" customHeight="1" outlineLevel="1" x14ac:dyDescent="0.55000000000000004">
      <c r="A18" s="261"/>
      <c r="B18" s="545" t="s">
        <v>22</v>
      </c>
      <c r="C18" s="367">
        <v>208921131.73499998</v>
      </c>
      <c r="D18" s="356">
        <v>3296339.3509999998</v>
      </c>
      <c r="E18" s="356">
        <v>249997.29099999997</v>
      </c>
      <c r="F18" s="356">
        <v>25605.381000000001</v>
      </c>
      <c r="G18" s="356">
        <v>10043.130999999999</v>
      </c>
      <c r="H18" s="356">
        <v>1829947.6140000001</v>
      </c>
      <c r="I18" s="356">
        <v>217064.571</v>
      </c>
      <c r="J18" s="356">
        <v>6962248.0070000002</v>
      </c>
      <c r="K18" s="356">
        <v>0</v>
      </c>
      <c r="L18" s="370">
        <v>2827898.6770000001</v>
      </c>
      <c r="M18" s="356">
        <v>13168927.895</v>
      </c>
      <c r="N18" s="379">
        <f t="shared" si="3"/>
        <v>28588071.918000001</v>
      </c>
      <c r="O18" s="379">
        <f t="shared" si="4"/>
        <v>237509203.653</v>
      </c>
    </row>
    <row r="19" spans="1:33" s="255" customFormat="1" ht="20.149999999999999" customHeight="1" outlineLevel="1" x14ac:dyDescent="0.55000000000000004">
      <c r="A19" s="261"/>
      <c r="B19" s="545" t="s">
        <v>23</v>
      </c>
      <c r="C19" s="367">
        <v>128575428.382</v>
      </c>
      <c r="D19" s="356">
        <v>0</v>
      </c>
      <c r="E19" s="356">
        <v>0</v>
      </c>
      <c r="F19" s="356">
        <v>0</v>
      </c>
      <c r="G19" s="356">
        <v>0</v>
      </c>
      <c r="H19" s="356">
        <v>189329.649</v>
      </c>
      <c r="I19" s="356">
        <v>0</v>
      </c>
      <c r="J19" s="356">
        <v>0</v>
      </c>
      <c r="K19" s="356">
        <v>0</v>
      </c>
      <c r="L19" s="370">
        <v>2059896.571</v>
      </c>
      <c r="M19" s="356">
        <v>1159199.7039999999</v>
      </c>
      <c r="N19" s="379">
        <f t="shared" si="3"/>
        <v>3408425.9240000001</v>
      </c>
      <c r="O19" s="379">
        <f t="shared" si="4"/>
        <v>131983854.30599999</v>
      </c>
    </row>
    <row r="20" spans="1:33" s="255" customFormat="1" ht="20.149999999999999" customHeight="1" outlineLevel="1" x14ac:dyDescent="0.55000000000000004">
      <c r="A20" s="261"/>
      <c r="B20" s="545" t="s">
        <v>24</v>
      </c>
      <c r="C20" s="367">
        <v>179718567.00399998</v>
      </c>
      <c r="D20" s="356">
        <v>451380.554</v>
      </c>
      <c r="E20" s="356">
        <v>45733.678</v>
      </c>
      <c r="F20" s="356">
        <v>0</v>
      </c>
      <c r="G20" s="356">
        <v>46.725999999999999</v>
      </c>
      <c r="H20" s="356">
        <v>389316.44400000002</v>
      </c>
      <c r="I20" s="356">
        <v>69177.191000000006</v>
      </c>
      <c r="J20" s="356">
        <v>0</v>
      </c>
      <c r="K20" s="356">
        <v>0</v>
      </c>
      <c r="L20" s="370">
        <v>5458078.8480000002</v>
      </c>
      <c r="M20" s="356">
        <v>2985320.9109999998</v>
      </c>
      <c r="N20" s="379">
        <f t="shared" si="3"/>
        <v>9399054.352</v>
      </c>
      <c r="O20" s="379">
        <f t="shared" si="4"/>
        <v>189117621.35599998</v>
      </c>
    </row>
    <row r="21" spans="1:33" s="255" customFormat="1" ht="20.149999999999999" customHeight="1" outlineLevel="1" x14ac:dyDescent="0.55000000000000004">
      <c r="A21" s="261"/>
      <c r="B21" s="545" t="s">
        <v>25</v>
      </c>
      <c r="C21" s="367">
        <v>226274991.42199999</v>
      </c>
      <c r="D21" s="356">
        <v>374896.94099999999</v>
      </c>
      <c r="E21" s="356">
        <v>244813.68400000001</v>
      </c>
      <c r="F21" s="356">
        <v>0</v>
      </c>
      <c r="G21" s="356">
        <v>3743.9670000000001</v>
      </c>
      <c r="H21" s="356">
        <v>1609350.6749999998</v>
      </c>
      <c r="I21" s="356">
        <v>149683.83799999999</v>
      </c>
      <c r="J21" s="356">
        <v>3490314.2779999999</v>
      </c>
      <c r="K21" s="356">
        <v>0</v>
      </c>
      <c r="L21" s="370">
        <v>6661125.0049999999</v>
      </c>
      <c r="M21" s="356">
        <v>14618257.6</v>
      </c>
      <c r="N21" s="379">
        <f t="shared" si="3"/>
        <v>27152185.987999998</v>
      </c>
      <c r="O21" s="379">
        <f t="shared" si="4"/>
        <v>253427177.41</v>
      </c>
    </row>
    <row r="22" spans="1:33" s="255" customFormat="1" ht="20.149999999999999" customHeight="1" outlineLevel="1" x14ac:dyDescent="0.55000000000000004">
      <c r="A22" s="261"/>
      <c r="B22" s="545" t="s">
        <v>26</v>
      </c>
      <c r="C22" s="367">
        <v>344483992.04100001</v>
      </c>
      <c r="D22" s="356">
        <v>4702821.6539999992</v>
      </c>
      <c r="E22" s="356">
        <v>1248134.078</v>
      </c>
      <c r="F22" s="356">
        <v>99.775999999999996</v>
      </c>
      <c r="G22" s="356">
        <v>3731.0160000000001</v>
      </c>
      <c r="H22" s="356">
        <v>358810.00599999999</v>
      </c>
      <c r="I22" s="356">
        <v>55453.425000000003</v>
      </c>
      <c r="J22" s="356">
        <v>2286820.6850000001</v>
      </c>
      <c r="K22" s="356">
        <v>0</v>
      </c>
      <c r="L22" s="370">
        <v>1477740.882</v>
      </c>
      <c r="M22" s="356">
        <v>26575415.015999999</v>
      </c>
      <c r="N22" s="379">
        <f t="shared" si="3"/>
        <v>36709026.537999995</v>
      </c>
      <c r="O22" s="379">
        <f t="shared" si="4"/>
        <v>381193018.579</v>
      </c>
    </row>
    <row r="23" spans="1:33" s="255" customFormat="1" ht="20.149999999999999" customHeight="1" x14ac:dyDescent="0.55000000000000004">
      <c r="A23" s="21"/>
      <c r="B23" s="354" t="s">
        <v>1110</v>
      </c>
      <c r="C23" s="374">
        <f>SUM(C25:C33)</f>
        <v>2657346147.0100002</v>
      </c>
      <c r="D23" s="374">
        <f t="shared" ref="D23:M23" si="5">SUM(D25:D33)</f>
        <v>8922113.199000001</v>
      </c>
      <c r="E23" s="374">
        <f t="shared" si="5"/>
        <v>1845088.4680000001</v>
      </c>
      <c r="F23" s="374">
        <f t="shared" si="5"/>
        <v>25808.060999999998</v>
      </c>
      <c r="G23" s="374">
        <f t="shared" si="5"/>
        <v>21814.762000000002</v>
      </c>
      <c r="H23" s="374">
        <f t="shared" si="5"/>
        <v>5324338.7560000001</v>
      </c>
      <c r="I23" s="374">
        <f t="shared" si="5"/>
        <v>523509.80499999999</v>
      </c>
      <c r="J23" s="374">
        <f t="shared" si="5"/>
        <v>14137468.776000001</v>
      </c>
      <c r="K23" s="374">
        <f t="shared" si="5"/>
        <v>272531.353</v>
      </c>
      <c r="L23" s="374">
        <f t="shared" si="5"/>
        <v>68569885.238000005</v>
      </c>
      <c r="M23" s="374">
        <f t="shared" si="5"/>
        <v>73877461.213</v>
      </c>
      <c r="N23" s="385">
        <f t="shared" ref="N23" si="6">SUM(D23:M23)</f>
        <v>173520019.63100001</v>
      </c>
      <c r="O23" s="158">
        <f t="shared" ref="O23" si="7">C23+N23</f>
        <v>2830866166.6410003</v>
      </c>
      <c r="P23" s="253"/>
      <c r="Q23" s="40"/>
      <c r="R23" s="40"/>
      <c r="S23" s="40"/>
      <c r="T23" s="40"/>
      <c r="U23" s="40"/>
      <c r="V23" s="40"/>
      <c r="W23" s="40"/>
      <c r="X23" s="40"/>
      <c r="Y23" s="40"/>
      <c r="Z23" s="40"/>
      <c r="AA23" s="40"/>
      <c r="AB23" s="40"/>
      <c r="AC23" s="40"/>
      <c r="AD23" s="40"/>
      <c r="AE23" s="40"/>
      <c r="AF23" s="40"/>
      <c r="AG23" s="40"/>
    </row>
    <row r="24" spans="1:33" ht="20.149999999999999" customHeight="1" x14ac:dyDescent="0.3">
      <c r="A24" s="2"/>
      <c r="B24" s="548" t="s">
        <v>1101</v>
      </c>
      <c r="C24" s="543"/>
      <c r="D24" s="543"/>
      <c r="E24" s="543"/>
      <c r="F24" s="543"/>
      <c r="G24" s="543"/>
      <c r="H24" s="543"/>
      <c r="I24" s="543"/>
      <c r="J24" s="543"/>
      <c r="K24" s="543"/>
      <c r="L24" s="543"/>
      <c r="M24" s="543"/>
      <c r="N24" s="543"/>
      <c r="O24" s="543"/>
    </row>
    <row r="25" spans="1:33" s="255" customFormat="1" ht="20.149999999999999" hidden="1" customHeight="1" outlineLevel="1" x14ac:dyDescent="0.55000000000000004">
      <c r="A25" s="34"/>
      <c r="B25" s="544" t="s">
        <v>18</v>
      </c>
      <c r="C25" s="579">
        <v>453086525.17799997</v>
      </c>
      <c r="D25" s="363">
        <v>306.08100000000002</v>
      </c>
      <c r="E25" s="363">
        <v>40296.800000000003</v>
      </c>
      <c r="F25" s="363">
        <v>0</v>
      </c>
      <c r="G25" s="363">
        <v>0</v>
      </c>
      <c r="H25" s="363">
        <f>2646.451+474749.062</f>
        <v>477395.51299999998</v>
      </c>
      <c r="I25" s="363">
        <v>0</v>
      </c>
      <c r="J25" s="363">
        <f>867176.509</f>
        <v>867176.50899999996</v>
      </c>
      <c r="K25" s="363">
        <v>0</v>
      </c>
      <c r="L25" s="580">
        <f>10251607.452+952045.727+2670424.831</f>
        <v>13874078.01</v>
      </c>
      <c r="M25" s="363">
        <v>2833571.378</v>
      </c>
      <c r="N25" s="381">
        <f t="shared" ref="N25:N33" si="8">SUM(D25:M25)</f>
        <v>18092824.290999997</v>
      </c>
      <c r="O25" s="381">
        <f t="shared" ref="O25:O33" si="9">C25+N25</f>
        <v>471179349.46899998</v>
      </c>
    </row>
    <row r="26" spans="1:33" s="255" customFormat="1" ht="20.149999999999999" hidden="1" customHeight="1" outlineLevel="1" x14ac:dyDescent="0.55000000000000004">
      <c r="A26" s="34"/>
      <c r="B26" s="545" t="s">
        <v>19</v>
      </c>
      <c r="C26" s="579">
        <v>235921079.17300001</v>
      </c>
      <c r="D26" s="363">
        <v>0</v>
      </c>
      <c r="E26" s="363">
        <v>0</v>
      </c>
      <c r="F26" s="363">
        <v>0</v>
      </c>
      <c r="G26" s="363">
        <v>4071.828</v>
      </c>
      <c r="H26" s="363">
        <f>28966.382+262003.724</f>
        <v>290970.10599999997</v>
      </c>
      <c r="I26" s="363">
        <v>0</v>
      </c>
      <c r="J26" s="363">
        <v>220059.56</v>
      </c>
      <c r="K26" s="363">
        <v>272531.353</v>
      </c>
      <c r="L26" s="580">
        <f>5338816.315+1114448.397+3047533.443</f>
        <v>9500798.1550000012</v>
      </c>
      <c r="M26" s="363">
        <v>6835834.5880000005</v>
      </c>
      <c r="N26" s="381">
        <f t="shared" si="8"/>
        <v>17124265.59</v>
      </c>
      <c r="O26" s="381">
        <f t="shared" si="9"/>
        <v>253045344.76300001</v>
      </c>
    </row>
    <row r="27" spans="1:33" s="255" customFormat="1" ht="20.149999999999999" hidden="1" customHeight="1" outlineLevel="1" x14ac:dyDescent="0.55000000000000004">
      <c r="A27" s="261"/>
      <c r="B27" s="545" t="s">
        <v>20</v>
      </c>
      <c r="C27" s="579">
        <v>720832334.02199996</v>
      </c>
      <c r="D27" s="363">
        <v>0</v>
      </c>
      <c r="E27" s="363">
        <v>0</v>
      </c>
      <c r="F27" s="363">
        <v>0</v>
      </c>
      <c r="G27" s="363">
        <v>0</v>
      </c>
      <c r="H27" s="363">
        <f>1038.599+14323.647</f>
        <v>15362.246000000001</v>
      </c>
      <c r="I27" s="363">
        <v>6401.8109999999997</v>
      </c>
      <c r="J27" s="363">
        <v>0</v>
      </c>
      <c r="K27" s="363">
        <v>0</v>
      </c>
      <c r="L27" s="580">
        <f>4324693.939+4664402.354+14879425.243</f>
        <v>23868521.536000002</v>
      </c>
      <c r="M27" s="363">
        <v>5355034.5020000003</v>
      </c>
      <c r="N27" s="381">
        <f t="shared" si="8"/>
        <v>29245320.095000003</v>
      </c>
      <c r="O27" s="381">
        <f t="shared" si="9"/>
        <v>750077654.11699998</v>
      </c>
    </row>
    <row r="28" spans="1:33" s="255" customFormat="1" ht="20.149999999999999" hidden="1" customHeight="1" outlineLevel="1" x14ac:dyDescent="0.55000000000000004">
      <c r="A28" s="261"/>
      <c r="B28" s="545" t="s">
        <v>21</v>
      </c>
      <c r="C28" s="579">
        <v>185244958.95899999</v>
      </c>
      <c r="D28" s="363">
        <v>0</v>
      </c>
      <c r="E28" s="363">
        <f>39.578+2435.716</f>
        <v>2475.2939999999999</v>
      </c>
      <c r="F28" s="363">
        <v>673.19500000000005</v>
      </c>
      <c r="G28" s="363">
        <v>0</v>
      </c>
      <c r="H28" s="363">
        <f>7073.738+13948.686</f>
        <v>21022.423999999999</v>
      </c>
      <c r="I28" s="363">
        <v>7614.915</v>
      </c>
      <c r="J28" s="363">
        <v>0</v>
      </c>
      <c r="K28" s="363">
        <v>0</v>
      </c>
      <c r="L28" s="580">
        <f>1727131.06+325047.336+797770.129</f>
        <v>2849948.5250000004</v>
      </c>
      <c r="M28" s="363">
        <v>220211.16899999999</v>
      </c>
      <c r="N28" s="381">
        <f t="shared" si="8"/>
        <v>3101945.5220000008</v>
      </c>
      <c r="O28" s="381">
        <f t="shared" si="9"/>
        <v>188346904.48100001</v>
      </c>
    </row>
    <row r="29" spans="1:33" s="255" customFormat="1" ht="20.149999999999999" hidden="1" customHeight="1" outlineLevel="1" x14ac:dyDescent="0.55000000000000004">
      <c r="A29" s="261"/>
      <c r="B29" s="545" t="s">
        <v>22</v>
      </c>
      <c r="C29" s="579">
        <f>201290460.05+473747.871</f>
        <v>201764207.921</v>
      </c>
      <c r="D29" s="363">
        <f>2391897.653+101395.759+760384.158</f>
        <v>3253677.5700000003</v>
      </c>
      <c r="E29" s="363">
        <f>106077.242+50114.652+102265.598</f>
        <v>258457.492</v>
      </c>
      <c r="F29" s="363">
        <v>25030.387999999999</v>
      </c>
      <c r="G29" s="363">
        <v>10228.128000000001</v>
      </c>
      <c r="H29" s="363">
        <f>865716.782+1107514.167</f>
        <v>1973230.949</v>
      </c>
      <c r="I29" s="363">
        <v>226215.726</v>
      </c>
      <c r="J29" s="363">
        <v>7003879.1909999996</v>
      </c>
      <c r="K29" s="363">
        <v>0</v>
      </c>
      <c r="L29" s="580">
        <f>2516152.5+32001.569+270794.42</f>
        <v>2818948.4890000001</v>
      </c>
      <c r="M29" s="363">
        <v>13192412.806</v>
      </c>
      <c r="N29" s="381">
        <f t="shared" si="8"/>
        <v>28762080.739</v>
      </c>
      <c r="O29" s="381">
        <f t="shared" si="9"/>
        <v>230526288.66</v>
      </c>
    </row>
    <row r="30" spans="1:33" s="255" customFormat="1" ht="20.149999999999999" hidden="1" customHeight="1" outlineLevel="1" x14ac:dyDescent="0.55000000000000004">
      <c r="A30" s="261"/>
      <c r="B30" s="545" t="s">
        <v>23</v>
      </c>
      <c r="C30" s="579">
        <v>128328056.991</v>
      </c>
      <c r="D30" s="363">
        <v>0</v>
      </c>
      <c r="E30" s="363">
        <v>0</v>
      </c>
      <c r="F30" s="363">
        <v>0</v>
      </c>
      <c r="G30" s="363">
        <v>0</v>
      </c>
      <c r="H30" s="363">
        <f>1236.924+190537.974</f>
        <v>191774.89799999999</v>
      </c>
      <c r="I30" s="363">
        <v>0</v>
      </c>
      <c r="J30" s="363">
        <v>0</v>
      </c>
      <c r="K30" s="363">
        <v>0</v>
      </c>
      <c r="L30" s="580">
        <f>1779274.211+97723.957+187785.982</f>
        <v>2064784.15</v>
      </c>
      <c r="M30" s="363">
        <v>1145501.814</v>
      </c>
      <c r="N30" s="381">
        <f t="shared" si="8"/>
        <v>3402060.8619999997</v>
      </c>
      <c r="O30" s="381">
        <f t="shared" si="9"/>
        <v>131730117.853</v>
      </c>
    </row>
    <row r="31" spans="1:33" s="255" customFormat="1" ht="20.149999999999999" hidden="1" customHeight="1" outlineLevel="1" x14ac:dyDescent="0.55000000000000004">
      <c r="A31" s="261"/>
      <c r="B31" s="545" t="s">
        <v>24</v>
      </c>
      <c r="C31" s="579">
        <v>176279001.574</v>
      </c>
      <c r="D31" s="363">
        <f>21079.025+153.579+438668.821</f>
        <v>459901.42499999999</v>
      </c>
      <c r="E31" s="363">
        <f>377.593+12834.331+34346.091</f>
        <v>47558.014999999999</v>
      </c>
      <c r="F31" s="363">
        <v>0</v>
      </c>
      <c r="G31" s="363">
        <v>47.119</v>
      </c>
      <c r="H31" s="363">
        <f>8743.357+394327.96</f>
        <v>403071.31700000004</v>
      </c>
      <c r="I31" s="363">
        <v>75900.811000000002</v>
      </c>
      <c r="J31" s="363">
        <v>0</v>
      </c>
      <c r="K31" s="363">
        <v>0</v>
      </c>
      <c r="L31" s="580">
        <f>5440924.435+392.123+17235.308</f>
        <v>5458551.8659999995</v>
      </c>
      <c r="M31" s="363">
        <v>3292088.87</v>
      </c>
      <c r="N31" s="381">
        <f t="shared" si="8"/>
        <v>9737119.4230000004</v>
      </c>
      <c r="O31" s="381">
        <f t="shared" si="9"/>
        <v>186016120.99700001</v>
      </c>
    </row>
    <row r="32" spans="1:33" s="255" customFormat="1" ht="20.149999999999999" hidden="1" customHeight="1" outlineLevel="1" x14ac:dyDescent="0.55000000000000004">
      <c r="A32" s="261"/>
      <c r="B32" s="545" t="s">
        <v>25</v>
      </c>
      <c r="C32" s="579">
        <f>221726713.758+167.476</f>
        <v>221726881.234</v>
      </c>
      <c r="D32" s="363">
        <f>1589.038+33531.883+417957.368</f>
        <v>453078.28899999999</v>
      </c>
      <c r="E32" s="363">
        <f>884.786+66879.432+179214.427</f>
        <v>246978.64499999999</v>
      </c>
      <c r="F32" s="363">
        <v>0</v>
      </c>
      <c r="G32" s="363">
        <v>3743.9670000000001</v>
      </c>
      <c r="H32" s="363">
        <f>971.322+1604527.533</f>
        <v>1605498.855</v>
      </c>
      <c r="I32" s="363">
        <v>151219.125</v>
      </c>
      <c r="J32" s="363">
        <v>3768116.1349999998</v>
      </c>
      <c r="K32" s="363">
        <v>0</v>
      </c>
      <c r="L32" s="580">
        <f>6171614.975+76000.012+408928.52</f>
        <v>6656543.5069999993</v>
      </c>
      <c r="M32" s="363">
        <v>14710917.903999999</v>
      </c>
      <c r="N32" s="381">
        <f t="shared" si="8"/>
        <v>27596096.426999997</v>
      </c>
      <c r="O32" s="381">
        <f t="shared" si="9"/>
        <v>249322977.66099998</v>
      </c>
    </row>
    <row r="33" spans="1:33" s="255" customFormat="1" ht="20.149999999999999" hidden="1" customHeight="1" outlineLevel="1" x14ac:dyDescent="0.55000000000000004">
      <c r="A33" s="261"/>
      <c r="B33" s="545" t="s">
        <v>26</v>
      </c>
      <c r="C33" s="579">
        <f>333061790.504+1101311.454</f>
        <v>334163101.958</v>
      </c>
      <c r="D33" s="363">
        <f>3496202.765+85093.077+1173853.992</f>
        <v>4755149.8340000007</v>
      </c>
      <c r="E33" s="363">
        <f>223209.085+170599.906+855513.231</f>
        <v>1249322.2220000001</v>
      </c>
      <c r="F33" s="363">
        <v>104.47799999999999</v>
      </c>
      <c r="G33" s="363">
        <v>3723.72</v>
      </c>
      <c r="H33" s="363">
        <f>204187.779+141824.669</f>
        <v>346012.44799999997</v>
      </c>
      <c r="I33" s="363">
        <v>56157.417000000001</v>
      </c>
      <c r="J33" s="363">
        <v>2278237.3810000001</v>
      </c>
      <c r="K33" s="363">
        <v>0</v>
      </c>
      <c r="L33" s="580">
        <f>1290499.443+47143.243+140068.314</f>
        <v>1477711</v>
      </c>
      <c r="M33" s="363">
        <v>26291888.182</v>
      </c>
      <c r="N33" s="381">
        <f t="shared" si="8"/>
        <v>36458306.681999996</v>
      </c>
      <c r="O33" s="381">
        <f t="shared" si="9"/>
        <v>370621408.63999999</v>
      </c>
    </row>
    <row r="34" spans="1:33" s="255" customFormat="1" ht="20.149999999999999" customHeight="1" collapsed="1" x14ac:dyDescent="0.55000000000000004">
      <c r="A34" s="21"/>
      <c r="B34" s="531" t="s">
        <v>1078</v>
      </c>
      <c r="C34" s="366">
        <v>2585753112</v>
      </c>
      <c r="D34" s="366">
        <v>9182700</v>
      </c>
      <c r="E34" s="366">
        <v>1863499</v>
      </c>
      <c r="F34" s="366">
        <v>24446</v>
      </c>
      <c r="G34" s="366">
        <v>21855</v>
      </c>
      <c r="H34" s="366">
        <v>5346720</v>
      </c>
      <c r="I34" s="366">
        <v>531031</v>
      </c>
      <c r="J34" s="366">
        <v>14176315</v>
      </c>
      <c r="K34" s="366">
        <v>272531</v>
      </c>
      <c r="L34" s="366">
        <v>65502576</v>
      </c>
      <c r="M34" s="366">
        <v>73110548</v>
      </c>
      <c r="N34" s="384">
        <f t="shared" ref="N34:N79" si="10">SUM(D34:M34)</f>
        <v>170032221</v>
      </c>
      <c r="O34" s="157">
        <f t="shared" ref="O34:O79" si="11">C34+N34</f>
        <v>2755785333</v>
      </c>
      <c r="P34" s="253"/>
      <c r="Q34" s="40"/>
      <c r="R34" s="40"/>
      <c r="S34" s="40"/>
      <c r="T34" s="40"/>
      <c r="U34" s="40"/>
      <c r="V34" s="40"/>
      <c r="W34" s="40"/>
      <c r="X34" s="40"/>
      <c r="Y34" s="40"/>
      <c r="Z34" s="40"/>
      <c r="AA34" s="40"/>
      <c r="AB34" s="40"/>
      <c r="AC34" s="40"/>
      <c r="AD34" s="40"/>
      <c r="AE34" s="40"/>
      <c r="AF34" s="40"/>
      <c r="AG34" s="40"/>
    </row>
    <row r="35" spans="1:33" ht="20.149999999999999" customHeight="1" x14ac:dyDescent="0.3">
      <c r="A35" s="2"/>
      <c r="B35" s="548" t="s">
        <v>1101</v>
      </c>
      <c r="C35" s="543"/>
      <c r="D35" s="543"/>
      <c r="E35" s="543"/>
      <c r="F35" s="543"/>
      <c r="G35" s="543"/>
      <c r="H35" s="543"/>
      <c r="I35" s="543"/>
      <c r="J35" s="543"/>
      <c r="K35" s="543"/>
      <c r="L35" s="543"/>
      <c r="M35" s="543"/>
      <c r="N35" s="543"/>
      <c r="O35" s="543"/>
    </row>
    <row r="36" spans="1:33" s="255" customFormat="1" ht="20.149999999999999" hidden="1" customHeight="1" outlineLevel="1" x14ac:dyDescent="0.55000000000000004">
      <c r="A36" s="34"/>
      <c r="B36" s="544" t="s">
        <v>18</v>
      </c>
      <c r="C36" s="366">
        <v>446864192</v>
      </c>
      <c r="D36" s="366">
        <v>306</v>
      </c>
      <c r="E36" s="366">
        <v>40096</v>
      </c>
      <c r="F36" s="366">
        <v>0</v>
      </c>
      <c r="G36" s="366">
        <v>0</v>
      </c>
      <c r="H36" s="366">
        <v>481331</v>
      </c>
      <c r="I36" s="366">
        <v>0</v>
      </c>
      <c r="J36" s="366">
        <v>867177</v>
      </c>
      <c r="K36" s="366">
        <v>0</v>
      </c>
      <c r="L36" s="366">
        <v>13606596</v>
      </c>
      <c r="M36" s="366">
        <v>3477427</v>
      </c>
      <c r="N36" s="384">
        <f t="shared" ref="N36:N44" si="12">SUM(D36:M36)</f>
        <v>18472933</v>
      </c>
      <c r="O36" s="157">
        <f t="shared" ref="O36:O44" si="13">C36+N36</f>
        <v>465337125</v>
      </c>
    </row>
    <row r="37" spans="1:33" s="255" customFormat="1" ht="20.149999999999999" hidden="1" customHeight="1" outlineLevel="1" x14ac:dyDescent="0.55000000000000004">
      <c r="A37" s="34"/>
      <c r="B37" s="545" t="s">
        <v>19</v>
      </c>
      <c r="C37" s="366">
        <v>227369845</v>
      </c>
      <c r="D37" s="366">
        <v>0</v>
      </c>
      <c r="E37" s="366">
        <v>0</v>
      </c>
      <c r="F37" s="366">
        <v>0</v>
      </c>
      <c r="G37" s="366">
        <v>4072</v>
      </c>
      <c r="H37" s="366">
        <v>294252</v>
      </c>
      <c r="I37" s="366">
        <v>0</v>
      </c>
      <c r="J37" s="366">
        <v>220060</v>
      </c>
      <c r="K37" s="366">
        <v>272531</v>
      </c>
      <c r="L37" s="366">
        <v>8773792</v>
      </c>
      <c r="M37" s="366">
        <v>6832290</v>
      </c>
      <c r="N37" s="384">
        <f t="shared" si="12"/>
        <v>16396997</v>
      </c>
      <c r="O37" s="157">
        <f t="shared" si="13"/>
        <v>243766842</v>
      </c>
    </row>
    <row r="38" spans="1:33" s="255" customFormat="1" ht="20.149999999999999" hidden="1" customHeight="1" outlineLevel="1" x14ac:dyDescent="0.55000000000000004">
      <c r="A38" s="261"/>
      <c r="B38" s="545" t="s">
        <v>20</v>
      </c>
      <c r="C38" s="366">
        <v>666695492</v>
      </c>
      <c r="D38" s="366">
        <v>0</v>
      </c>
      <c r="E38" s="366">
        <v>0</v>
      </c>
      <c r="F38" s="366">
        <v>0</v>
      </c>
      <c r="G38" s="366">
        <v>0</v>
      </c>
      <c r="H38" s="366">
        <v>15679</v>
      </c>
      <c r="I38" s="366">
        <v>8346</v>
      </c>
      <c r="J38" s="366">
        <v>0</v>
      </c>
      <c r="K38" s="366">
        <v>0</v>
      </c>
      <c r="L38" s="366">
        <v>21764859</v>
      </c>
      <c r="M38" s="366">
        <v>4427369</v>
      </c>
      <c r="N38" s="384">
        <f t="shared" si="12"/>
        <v>26216253</v>
      </c>
      <c r="O38" s="157">
        <f t="shared" si="13"/>
        <v>692911745</v>
      </c>
    </row>
    <row r="39" spans="1:33" s="255" customFormat="1" ht="20.149999999999999" hidden="1" customHeight="1" outlineLevel="1" x14ac:dyDescent="0.55000000000000004">
      <c r="A39" s="261"/>
      <c r="B39" s="545" t="s">
        <v>21</v>
      </c>
      <c r="C39" s="366">
        <v>184836075</v>
      </c>
      <c r="D39" s="366">
        <v>0</v>
      </c>
      <c r="E39" s="366">
        <v>40</v>
      </c>
      <c r="F39" s="366">
        <v>673</v>
      </c>
      <c r="G39" s="366">
        <v>0</v>
      </c>
      <c r="H39" s="366">
        <v>21197</v>
      </c>
      <c r="I39" s="366">
        <v>7776</v>
      </c>
      <c r="J39" s="366">
        <v>0</v>
      </c>
      <c r="K39" s="366">
        <v>0</v>
      </c>
      <c r="L39" s="366">
        <v>2849949</v>
      </c>
      <c r="M39" s="366">
        <v>222568</v>
      </c>
      <c r="N39" s="384">
        <f t="shared" si="12"/>
        <v>3102203</v>
      </c>
      <c r="O39" s="157">
        <f t="shared" si="13"/>
        <v>187938278</v>
      </c>
    </row>
    <row r="40" spans="1:33" s="255" customFormat="1" ht="20.149999999999999" hidden="1" customHeight="1" outlineLevel="1" x14ac:dyDescent="0.55000000000000004">
      <c r="A40" s="261"/>
      <c r="B40" s="545" t="s">
        <v>22</v>
      </c>
      <c r="C40" s="366">
        <v>202029096</v>
      </c>
      <c r="D40" s="366">
        <v>3415656</v>
      </c>
      <c r="E40" s="366">
        <v>266880</v>
      </c>
      <c r="F40" s="366">
        <v>23668</v>
      </c>
      <c r="G40" s="366">
        <v>10247</v>
      </c>
      <c r="H40" s="366">
        <v>1975440</v>
      </c>
      <c r="I40" s="366">
        <v>227100</v>
      </c>
      <c r="J40" s="366">
        <v>7003879</v>
      </c>
      <c r="K40" s="366">
        <v>0</v>
      </c>
      <c r="L40" s="366">
        <v>2819481</v>
      </c>
      <c r="M40" s="366">
        <v>13159564</v>
      </c>
      <c r="N40" s="384">
        <f t="shared" si="12"/>
        <v>28901915</v>
      </c>
      <c r="O40" s="157">
        <f t="shared" si="13"/>
        <v>230931011</v>
      </c>
    </row>
    <row r="41" spans="1:33" s="255" customFormat="1" ht="20.149999999999999" hidden="1" customHeight="1" outlineLevel="1" x14ac:dyDescent="0.55000000000000004">
      <c r="A41" s="261"/>
      <c r="B41" s="545" t="s">
        <v>23</v>
      </c>
      <c r="C41" s="366">
        <v>128872441</v>
      </c>
      <c r="D41" s="366">
        <v>0</v>
      </c>
      <c r="E41" s="366">
        <v>0</v>
      </c>
      <c r="F41" s="366">
        <v>0</v>
      </c>
      <c r="G41" s="366">
        <v>0</v>
      </c>
      <c r="H41" s="366">
        <v>195409</v>
      </c>
      <c r="I41" s="366">
        <v>0</v>
      </c>
      <c r="J41" s="366">
        <v>0</v>
      </c>
      <c r="K41" s="366">
        <v>0</v>
      </c>
      <c r="L41" s="366">
        <v>2090015</v>
      </c>
      <c r="M41" s="366">
        <v>902542</v>
      </c>
      <c r="N41" s="384">
        <f t="shared" si="12"/>
        <v>3187966</v>
      </c>
      <c r="O41" s="157">
        <f t="shared" si="13"/>
        <v>132060407</v>
      </c>
    </row>
    <row r="42" spans="1:33" s="255" customFormat="1" ht="20.149999999999999" hidden="1" customHeight="1" outlineLevel="1" x14ac:dyDescent="0.55000000000000004">
      <c r="A42" s="261"/>
      <c r="B42" s="545" t="s">
        <v>24</v>
      </c>
      <c r="C42" s="366">
        <v>176408508</v>
      </c>
      <c r="D42" s="366">
        <v>455308</v>
      </c>
      <c r="E42" s="366">
        <v>47352</v>
      </c>
      <c r="F42" s="366">
        <v>0</v>
      </c>
      <c r="G42" s="366">
        <v>48</v>
      </c>
      <c r="H42" s="366">
        <v>407181</v>
      </c>
      <c r="I42" s="366">
        <v>77293</v>
      </c>
      <c r="J42" s="366">
        <v>0</v>
      </c>
      <c r="K42" s="366">
        <v>0</v>
      </c>
      <c r="L42" s="366">
        <v>5459032</v>
      </c>
      <c r="M42" s="366">
        <v>2908842</v>
      </c>
      <c r="N42" s="384">
        <f t="shared" si="12"/>
        <v>9355056</v>
      </c>
      <c r="O42" s="392">
        <f t="shared" si="13"/>
        <v>185763564</v>
      </c>
    </row>
    <row r="43" spans="1:33" s="255" customFormat="1" ht="20.149999999999999" hidden="1" customHeight="1" outlineLevel="1" x14ac:dyDescent="0.55000000000000004">
      <c r="A43" s="261"/>
      <c r="B43" s="545" t="s">
        <v>25</v>
      </c>
      <c r="C43" s="366">
        <v>218793004</v>
      </c>
      <c r="D43" s="366">
        <v>531754</v>
      </c>
      <c r="E43" s="366">
        <v>242465</v>
      </c>
      <c r="F43" s="366">
        <v>0</v>
      </c>
      <c r="G43" s="366">
        <v>3744</v>
      </c>
      <c r="H43" s="366">
        <v>1610638</v>
      </c>
      <c r="I43" s="366">
        <v>151633</v>
      </c>
      <c r="J43" s="366">
        <v>3806963</v>
      </c>
      <c r="K43" s="366">
        <v>0</v>
      </c>
      <c r="L43" s="366">
        <v>6655449</v>
      </c>
      <c r="M43" s="366">
        <v>14606870</v>
      </c>
      <c r="N43" s="384">
        <f t="shared" si="12"/>
        <v>27609516</v>
      </c>
      <c r="O43" s="157">
        <f t="shared" si="13"/>
        <v>246402520</v>
      </c>
    </row>
    <row r="44" spans="1:33" s="255" customFormat="1" ht="20.149999999999999" hidden="1" customHeight="1" outlineLevel="1" x14ac:dyDescent="0.55000000000000004">
      <c r="A44" s="261"/>
      <c r="B44" s="545" t="s">
        <v>26</v>
      </c>
      <c r="C44" s="366">
        <v>333884459</v>
      </c>
      <c r="D44" s="366">
        <v>4779677</v>
      </c>
      <c r="E44" s="366">
        <v>1266665</v>
      </c>
      <c r="F44" s="366">
        <v>104</v>
      </c>
      <c r="G44" s="366">
        <v>3746</v>
      </c>
      <c r="H44" s="366">
        <v>345593</v>
      </c>
      <c r="I44" s="366">
        <v>58884</v>
      </c>
      <c r="J44" s="366">
        <v>2278237</v>
      </c>
      <c r="K44" s="366">
        <v>0</v>
      </c>
      <c r="L44" s="366">
        <v>1483402</v>
      </c>
      <c r="M44" s="366">
        <v>26573076</v>
      </c>
      <c r="N44" s="384">
        <f t="shared" si="12"/>
        <v>36789384</v>
      </c>
      <c r="O44" s="157">
        <f t="shared" si="13"/>
        <v>370673843</v>
      </c>
    </row>
    <row r="45" spans="1:33" s="255" customFormat="1" ht="20.149999999999999" customHeight="1" collapsed="1" x14ac:dyDescent="0.55000000000000004">
      <c r="A45" s="21"/>
      <c r="B45" s="531" t="s">
        <v>1092</v>
      </c>
      <c r="C45" s="366">
        <v>2526425052</v>
      </c>
      <c r="D45" s="366">
        <v>9296654</v>
      </c>
      <c r="E45" s="366">
        <v>1946752</v>
      </c>
      <c r="F45" s="366">
        <v>23063</v>
      </c>
      <c r="G45" s="366">
        <v>23173</v>
      </c>
      <c r="H45" s="366">
        <v>5387700</v>
      </c>
      <c r="I45" s="366">
        <v>551435</v>
      </c>
      <c r="J45" s="366">
        <v>14215162</v>
      </c>
      <c r="K45" s="366">
        <v>272531</v>
      </c>
      <c r="L45" s="366">
        <v>62203470</v>
      </c>
      <c r="M45" s="366">
        <v>73040878</v>
      </c>
      <c r="N45" s="384">
        <f t="shared" si="10"/>
        <v>166960818</v>
      </c>
      <c r="O45" s="157">
        <f t="shared" si="11"/>
        <v>2693385870</v>
      </c>
      <c r="P45" s="253"/>
      <c r="Q45" s="40"/>
      <c r="R45" s="40"/>
      <c r="S45" s="40"/>
      <c r="T45" s="40"/>
      <c r="U45" s="40"/>
      <c r="V45" s="40"/>
      <c r="W45" s="40"/>
      <c r="X45" s="40"/>
      <c r="Y45" s="40"/>
      <c r="Z45" s="40"/>
      <c r="AA45" s="40"/>
      <c r="AB45" s="40"/>
      <c r="AC45" s="40"/>
      <c r="AD45" s="40"/>
      <c r="AE45" s="40"/>
      <c r="AF45" s="40"/>
      <c r="AG45" s="40"/>
    </row>
    <row r="46" spans="1:33" ht="20.149999999999999" customHeight="1" x14ac:dyDescent="0.3">
      <c r="A46" s="2"/>
      <c r="B46" s="548" t="s">
        <v>1101</v>
      </c>
      <c r="C46" s="543"/>
      <c r="D46" s="543"/>
      <c r="E46" s="543"/>
      <c r="F46" s="543"/>
      <c r="G46" s="543"/>
      <c r="H46" s="543"/>
      <c r="I46" s="543"/>
      <c r="J46" s="543"/>
      <c r="K46" s="543"/>
      <c r="L46" s="543"/>
      <c r="M46" s="543"/>
      <c r="N46" s="543"/>
      <c r="O46" s="543"/>
    </row>
    <row r="47" spans="1:33" s="255" customFormat="1" ht="20.149999999999999" hidden="1" customHeight="1" outlineLevel="1" x14ac:dyDescent="0.55000000000000004">
      <c r="A47" s="34"/>
      <c r="B47" s="544" t="s">
        <v>18</v>
      </c>
      <c r="C47" s="366">
        <v>434875531</v>
      </c>
      <c r="D47" s="366">
        <v>306</v>
      </c>
      <c r="E47" s="366">
        <v>38145</v>
      </c>
      <c r="F47" s="366">
        <v>0</v>
      </c>
      <c r="G47" s="366">
        <v>0</v>
      </c>
      <c r="H47" s="366">
        <v>480750</v>
      </c>
      <c r="I47" s="366">
        <v>0</v>
      </c>
      <c r="J47" s="366">
        <v>867177</v>
      </c>
      <c r="K47" s="366">
        <v>0</v>
      </c>
      <c r="L47" s="366">
        <v>13027279</v>
      </c>
      <c r="M47" s="366">
        <v>3897907</v>
      </c>
      <c r="N47" s="384">
        <f t="shared" ref="N47:N55" si="14">SUM(D47:M47)</f>
        <v>18311564</v>
      </c>
      <c r="O47" s="157">
        <f t="shared" ref="O47:O55" si="15">C47+N47</f>
        <v>453187095</v>
      </c>
    </row>
    <row r="48" spans="1:33" s="255" customFormat="1" ht="20.149999999999999" hidden="1" customHeight="1" outlineLevel="1" x14ac:dyDescent="0.55000000000000004">
      <c r="A48" s="34"/>
      <c r="B48" s="545" t="s">
        <v>19</v>
      </c>
      <c r="C48" s="366">
        <v>218671086</v>
      </c>
      <c r="D48" s="366">
        <v>0</v>
      </c>
      <c r="E48" s="366">
        <v>0</v>
      </c>
      <c r="F48" s="366">
        <v>0</v>
      </c>
      <c r="G48" s="366">
        <v>5368</v>
      </c>
      <c r="H48" s="366">
        <v>299230</v>
      </c>
      <c r="I48" s="366">
        <v>0</v>
      </c>
      <c r="J48" s="366">
        <v>220060</v>
      </c>
      <c r="K48" s="366">
        <v>272531</v>
      </c>
      <c r="L48" s="366">
        <v>8376150</v>
      </c>
      <c r="M48" s="366">
        <v>6861475</v>
      </c>
      <c r="N48" s="384">
        <f t="shared" si="14"/>
        <v>16034814</v>
      </c>
      <c r="O48" s="157">
        <f t="shared" si="15"/>
        <v>234705900</v>
      </c>
    </row>
    <row r="49" spans="1:33" s="255" customFormat="1" ht="20.149999999999999" hidden="1" customHeight="1" outlineLevel="1" x14ac:dyDescent="0.55000000000000004">
      <c r="A49" s="261"/>
      <c r="B49" s="545" t="s">
        <v>20</v>
      </c>
      <c r="C49" s="366">
        <v>633986177</v>
      </c>
      <c r="D49" s="366">
        <v>0</v>
      </c>
      <c r="E49" s="366">
        <v>0</v>
      </c>
      <c r="F49" s="366">
        <v>0</v>
      </c>
      <c r="G49" s="366">
        <v>0</v>
      </c>
      <c r="H49" s="366">
        <v>19517</v>
      </c>
      <c r="I49" s="366">
        <v>8693</v>
      </c>
      <c r="J49" s="366">
        <v>0</v>
      </c>
      <c r="K49" s="366">
        <v>0</v>
      </c>
      <c r="L49" s="366">
        <v>19414392</v>
      </c>
      <c r="M49" s="366">
        <v>4258367</v>
      </c>
      <c r="N49" s="384">
        <f t="shared" si="14"/>
        <v>23700969</v>
      </c>
      <c r="O49" s="157">
        <f t="shared" si="15"/>
        <v>657687146</v>
      </c>
    </row>
    <row r="50" spans="1:33" s="255" customFormat="1" ht="20.149999999999999" hidden="1" customHeight="1" outlineLevel="1" x14ac:dyDescent="0.55000000000000004">
      <c r="A50" s="261"/>
      <c r="B50" s="545" t="s">
        <v>21</v>
      </c>
      <c r="C50" s="366">
        <v>183815127</v>
      </c>
      <c r="D50" s="366">
        <v>0</v>
      </c>
      <c r="E50" s="366">
        <v>40</v>
      </c>
      <c r="F50" s="366">
        <v>654</v>
      </c>
      <c r="G50" s="366">
        <v>0</v>
      </c>
      <c r="H50" s="366">
        <v>21280</v>
      </c>
      <c r="I50" s="366">
        <v>7910</v>
      </c>
      <c r="J50" s="366">
        <v>0</v>
      </c>
      <c r="K50" s="366">
        <v>0</v>
      </c>
      <c r="L50" s="366">
        <v>2849949</v>
      </c>
      <c r="M50" s="366">
        <v>223736</v>
      </c>
      <c r="N50" s="384">
        <f t="shared" si="14"/>
        <v>3103569</v>
      </c>
      <c r="O50" s="157">
        <f t="shared" si="15"/>
        <v>186918696</v>
      </c>
    </row>
    <row r="51" spans="1:33" s="255" customFormat="1" ht="20.149999999999999" hidden="1" customHeight="1" outlineLevel="1" x14ac:dyDescent="0.55000000000000004">
      <c r="A51" s="261"/>
      <c r="B51" s="545" t="s">
        <v>22</v>
      </c>
      <c r="C51" s="366">
        <v>202483500</v>
      </c>
      <c r="D51" s="366">
        <v>3509663</v>
      </c>
      <c r="E51" s="366">
        <v>270150</v>
      </c>
      <c r="F51" s="366">
        <v>22304</v>
      </c>
      <c r="G51" s="366">
        <v>10309</v>
      </c>
      <c r="H51" s="366">
        <v>1978087</v>
      </c>
      <c r="I51" s="366">
        <v>230921</v>
      </c>
      <c r="J51" s="366">
        <v>7003879</v>
      </c>
      <c r="K51" s="366">
        <v>0</v>
      </c>
      <c r="L51" s="366">
        <v>2842060</v>
      </c>
      <c r="M51" s="366">
        <v>13206688</v>
      </c>
      <c r="N51" s="384">
        <f t="shared" si="14"/>
        <v>29074061</v>
      </c>
      <c r="O51" s="157">
        <f t="shared" si="15"/>
        <v>231557561</v>
      </c>
    </row>
    <row r="52" spans="1:33" s="255" customFormat="1" ht="20.149999999999999" hidden="1" customHeight="1" outlineLevel="1" x14ac:dyDescent="0.55000000000000004">
      <c r="A52" s="261"/>
      <c r="B52" s="545" t="s">
        <v>23</v>
      </c>
      <c r="C52" s="366">
        <v>128758821</v>
      </c>
      <c r="D52" s="366">
        <v>0</v>
      </c>
      <c r="E52" s="366">
        <v>265</v>
      </c>
      <c r="F52" s="366">
        <v>0</v>
      </c>
      <c r="G52" s="366">
        <v>0</v>
      </c>
      <c r="H52" s="366">
        <v>200589</v>
      </c>
      <c r="I52" s="366">
        <v>0</v>
      </c>
      <c r="J52" s="366">
        <v>0</v>
      </c>
      <c r="K52" s="366">
        <v>0</v>
      </c>
      <c r="L52" s="366">
        <v>2098091</v>
      </c>
      <c r="M52" s="366">
        <v>809402</v>
      </c>
      <c r="N52" s="384">
        <f t="shared" si="14"/>
        <v>3108347</v>
      </c>
      <c r="O52" s="157">
        <f t="shared" si="15"/>
        <v>131867168</v>
      </c>
    </row>
    <row r="53" spans="1:33" s="255" customFormat="1" ht="20.149999999999999" hidden="1" customHeight="1" outlineLevel="1" x14ac:dyDescent="0.55000000000000004">
      <c r="A53" s="261"/>
      <c r="B53" s="545" t="s">
        <v>24</v>
      </c>
      <c r="C53" s="366">
        <v>176726225</v>
      </c>
      <c r="D53" s="366">
        <v>466133</v>
      </c>
      <c r="E53" s="366">
        <v>46993</v>
      </c>
      <c r="F53" s="366">
        <v>0</v>
      </c>
      <c r="G53" s="366">
        <v>48</v>
      </c>
      <c r="H53" s="366">
        <v>423205</v>
      </c>
      <c r="I53" s="366">
        <v>89741</v>
      </c>
      <c r="J53" s="366">
        <v>0</v>
      </c>
      <c r="K53" s="366">
        <v>0</v>
      </c>
      <c r="L53" s="366">
        <v>5456930</v>
      </c>
      <c r="M53" s="366">
        <v>2883101</v>
      </c>
      <c r="N53" s="384">
        <f t="shared" si="14"/>
        <v>9366151</v>
      </c>
      <c r="O53" s="392">
        <f t="shared" si="15"/>
        <v>186092376</v>
      </c>
    </row>
    <row r="54" spans="1:33" s="255" customFormat="1" ht="20.149999999999999" hidden="1" customHeight="1" outlineLevel="1" x14ac:dyDescent="0.55000000000000004">
      <c r="A54" s="261"/>
      <c r="B54" s="545" t="s">
        <v>25</v>
      </c>
      <c r="C54" s="366">
        <v>216693411</v>
      </c>
      <c r="D54" s="366">
        <v>535112</v>
      </c>
      <c r="E54" s="366">
        <v>244864</v>
      </c>
      <c r="F54" s="366">
        <v>0</v>
      </c>
      <c r="G54" s="366">
        <v>3699</v>
      </c>
      <c r="H54" s="366">
        <v>1618367</v>
      </c>
      <c r="I54" s="366">
        <v>155376</v>
      </c>
      <c r="J54" s="366">
        <v>3845809</v>
      </c>
      <c r="K54" s="366">
        <v>0</v>
      </c>
      <c r="L54" s="366">
        <v>6652409</v>
      </c>
      <c r="M54" s="366">
        <v>14490468</v>
      </c>
      <c r="N54" s="384">
        <f t="shared" si="14"/>
        <v>27546104</v>
      </c>
      <c r="O54" s="157">
        <f t="shared" si="15"/>
        <v>244239515</v>
      </c>
    </row>
    <row r="55" spans="1:33" s="255" customFormat="1" ht="20.149999999999999" hidden="1" customHeight="1" outlineLevel="1" x14ac:dyDescent="0.55000000000000004">
      <c r="A55" s="261"/>
      <c r="B55" s="545" t="s">
        <v>26</v>
      </c>
      <c r="C55" s="366">
        <v>330415174</v>
      </c>
      <c r="D55" s="366">
        <v>4785441</v>
      </c>
      <c r="E55" s="366">
        <v>1346296</v>
      </c>
      <c r="F55" s="366">
        <v>104</v>
      </c>
      <c r="G55" s="366">
        <v>3749</v>
      </c>
      <c r="H55" s="366">
        <v>346667</v>
      </c>
      <c r="I55" s="366">
        <v>58795</v>
      </c>
      <c r="J55" s="366">
        <v>2278237</v>
      </c>
      <c r="K55" s="366">
        <v>0</v>
      </c>
      <c r="L55" s="366">
        <v>1486211</v>
      </c>
      <c r="M55" s="366">
        <v>26409736</v>
      </c>
      <c r="N55" s="384">
        <f t="shared" si="14"/>
        <v>36715236</v>
      </c>
      <c r="O55" s="157">
        <f t="shared" si="15"/>
        <v>367130410</v>
      </c>
    </row>
    <row r="56" spans="1:33" s="255" customFormat="1" ht="20.149999999999999" customHeight="1" collapsed="1" x14ac:dyDescent="0.55000000000000004">
      <c r="A56" s="21"/>
      <c r="B56" s="354" t="s">
        <v>1</v>
      </c>
      <c r="C56" s="356">
        <v>2540116201</v>
      </c>
      <c r="D56" s="356">
        <v>9829728</v>
      </c>
      <c r="E56" s="356">
        <v>2103054</v>
      </c>
      <c r="F56" s="356">
        <v>23118</v>
      </c>
      <c r="G56" s="356">
        <v>23992</v>
      </c>
      <c r="H56" s="356">
        <v>5408982</v>
      </c>
      <c r="I56" s="356">
        <v>713327</v>
      </c>
      <c r="J56" s="356">
        <v>15156534</v>
      </c>
      <c r="K56" s="356">
        <v>284024</v>
      </c>
      <c r="L56" s="356">
        <v>62366313</v>
      </c>
      <c r="M56" s="356">
        <v>73634369</v>
      </c>
      <c r="N56" s="385">
        <f t="shared" si="10"/>
        <v>169543441</v>
      </c>
      <c r="O56" s="158">
        <f t="shared" si="11"/>
        <v>2709659642</v>
      </c>
      <c r="P56" s="253"/>
      <c r="Q56" s="40"/>
      <c r="R56" s="40"/>
      <c r="S56" s="40"/>
      <c r="T56" s="40"/>
      <c r="U56" s="40"/>
      <c r="V56" s="40"/>
      <c r="W56" s="40"/>
      <c r="X56" s="40"/>
      <c r="Y56" s="40"/>
      <c r="Z56" s="40"/>
      <c r="AA56" s="40"/>
      <c r="AB56" s="40"/>
      <c r="AC56" s="40"/>
      <c r="AD56" s="40"/>
      <c r="AE56" s="40"/>
      <c r="AF56" s="40"/>
      <c r="AG56" s="40"/>
    </row>
    <row r="57" spans="1:33" ht="20.149999999999999" customHeight="1" x14ac:dyDescent="0.3">
      <c r="A57" s="2"/>
      <c r="B57" s="548" t="s">
        <v>1101</v>
      </c>
      <c r="C57" s="543"/>
      <c r="D57" s="543"/>
      <c r="E57" s="543"/>
      <c r="F57" s="543"/>
      <c r="G57" s="543"/>
      <c r="H57" s="543"/>
      <c r="I57" s="543"/>
      <c r="J57" s="543"/>
      <c r="K57" s="543"/>
      <c r="L57" s="543"/>
      <c r="M57" s="543"/>
      <c r="N57" s="543"/>
      <c r="O57" s="543"/>
    </row>
    <row r="58" spans="1:33" s="255" customFormat="1" ht="20.149999999999999" hidden="1" customHeight="1" outlineLevel="1" x14ac:dyDescent="0.55000000000000004">
      <c r="A58" s="34"/>
      <c r="B58" s="544" t="s">
        <v>18</v>
      </c>
      <c r="C58" s="356">
        <v>436603787</v>
      </c>
      <c r="D58" s="356">
        <v>98382</v>
      </c>
      <c r="E58" s="356">
        <v>38145</v>
      </c>
      <c r="F58" s="356">
        <v>0</v>
      </c>
      <c r="G58" s="356">
        <v>0</v>
      </c>
      <c r="H58" s="356">
        <v>519281</v>
      </c>
      <c r="I58" s="356">
        <v>0</v>
      </c>
      <c r="J58" s="356">
        <v>904880</v>
      </c>
      <c r="K58" s="356">
        <v>0</v>
      </c>
      <c r="L58" s="356">
        <v>13027398</v>
      </c>
      <c r="M58" s="356">
        <v>3808150</v>
      </c>
      <c r="N58" s="385">
        <f t="shared" ref="N58:N66" si="16">SUM(D58:M58)</f>
        <v>18396236</v>
      </c>
      <c r="O58" s="158">
        <f t="shared" ref="O58:O66" si="17">C58+N58</f>
        <v>455000023</v>
      </c>
    </row>
    <row r="59" spans="1:33" s="255" customFormat="1" ht="20.149999999999999" hidden="1" customHeight="1" outlineLevel="1" x14ac:dyDescent="0.55000000000000004">
      <c r="A59" s="34"/>
      <c r="B59" s="545" t="s">
        <v>19</v>
      </c>
      <c r="C59" s="356">
        <v>220205771</v>
      </c>
      <c r="D59" s="356">
        <v>0</v>
      </c>
      <c r="E59" s="356">
        <v>0</v>
      </c>
      <c r="F59" s="356">
        <v>0</v>
      </c>
      <c r="G59" s="356">
        <v>5675</v>
      </c>
      <c r="H59" s="356">
        <v>301567</v>
      </c>
      <c r="I59" s="356">
        <v>0</v>
      </c>
      <c r="J59" s="356">
        <v>229339</v>
      </c>
      <c r="K59" s="356">
        <v>284024</v>
      </c>
      <c r="L59" s="356">
        <v>8365361</v>
      </c>
      <c r="M59" s="356">
        <v>6805396</v>
      </c>
      <c r="N59" s="385">
        <f t="shared" si="16"/>
        <v>15991362</v>
      </c>
      <c r="O59" s="158">
        <f t="shared" si="17"/>
        <v>236197133</v>
      </c>
    </row>
    <row r="60" spans="1:33" s="255" customFormat="1" ht="20.149999999999999" hidden="1" customHeight="1" outlineLevel="1" x14ac:dyDescent="0.55000000000000004">
      <c r="A60" s="261"/>
      <c r="B60" s="545" t="s">
        <v>20</v>
      </c>
      <c r="C60" s="356">
        <v>636123192</v>
      </c>
      <c r="D60" s="356">
        <v>0</v>
      </c>
      <c r="E60" s="356">
        <v>0</v>
      </c>
      <c r="F60" s="356">
        <v>0</v>
      </c>
      <c r="G60" s="356">
        <v>0</v>
      </c>
      <c r="H60" s="356">
        <v>20029</v>
      </c>
      <c r="I60" s="356">
        <v>8910</v>
      </c>
      <c r="J60" s="356">
        <v>0</v>
      </c>
      <c r="K60" s="356">
        <v>0</v>
      </c>
      <c r="L60" s="356">
        <v>19437549</v>
      </c>
      <c r="M60" s="356">
        <v>3648463</v>
      </c>
      <c r="N60" s="385">
        <f t="shared" si="16"/>
        <v>23114951</v>
      </c>
      <c r="O60" s="158">
        <f t="shared" si="17"/>
        <v>659238143</v>
      </c>
    </row>
    <row r="61" spans="1:33" s="255" customFormat="1" ht="20.149999999999999" hidden="1" customHeight="1" outlineLevel="1" x14ac:dyDescent="0.55000000000000004">
      <c r="A61" s="261"/>
      <c r="B61" s="545" t="s">
        <v>21</v>
      </c>
      <c r="C61" s="356">
        <v>184738964</v>
      </c>
      <c r="D61" s="356">
        <v>0</v>
      </c>
      <c r="E61" s="356">
        <v>40</v>
      </c>
      <c r="F61" s="356">
        <v>654</v>
      </c>
      <c r="G61" s="356">
        <v>0</v>
      </c>
      <c r="H61" s="356">
        <v>22773</v>
      </c>
      <c r="I61" s="356">
        <v>8249</v>
      </c>
      <c r="J61" s="356">
        <v>0</v>
      </c>
      <c r="K61" s="356">
        <v>0</v>
      </c>
      <c r="L61" s="356">
        <v>2898976</v>
      </c>
      <c r="M61" s="356">
        <v>192535</v>
      </c>
      <c r="N61" s="385">
        <f t="shared" si="16"/>
        <v>3123227</v>
      </c>
      <c r="O61" s="158">
        <f t="shared" si="17"/>
        <v>187862191</v>
      </c>
    </row>
    <row r="62" spans="1:33" s="255" customFormat="1" ht="20.149999999999999" hidden="1" customHeight="1" outlineLevel="1" x14ac:dyDescent="0.55000000000000004">
      <c r="A62" s="261"/>
      <c r="B62" s="545" t="s">
        <v>22</v>
      </c>
      <c r="C62" s="356">
        <v>204732472</v>
      </c>
      <c r="D62" s="356">
        <v>3669987</v>
      </c>
      <c r="E62" s="356">
        <v>282509</v>
      </c>
      <c r="F62" s="356">
        <v>22354</v>
      </c>
      <c r="G62" s="356">
        <v>10448</v>
      </c>
      <c r="H62" s="356">
        <v>2016411</v>
      </c>
      <c r="I62" s="356">
        <v>256530</v>
      </c>
      <c r="J62" s="356">
        <v>7377417</v>
      </c>
      <c r="K62" s="356">
        <v>0</v>
      </c>
      <c r="L62" s="356">
        <v>3111774</v>
      </c>
      <c r="M62" s="356">
        <v>13466270</v>
      </c>
      <c r="N62" s="385">
        <f t="shared" si="16"/>
        <v>30213700</v>
      </c>
      <c r="O62" s="158">
        <f t="shared" si="17"/>
        <v>234946172</v>
      </c>
    </row>
    <row r="63" spans="1:33" s="255" customFormat="1" ht="20.149999999999999" hidden="1" customHeight="1" outlineLevel="1" x14ac:dyDescent="0.55000000000000004">
      <c r="A63" s="261"/>
      <c r="B63" s="545" t="s">
        <v>23</v>
      </c>
      <c r="C63" s="356">
        <v>129970174</v>
      </c>
      <c r="D63" s="356">
        <v>0</v>
      </c>
      <c r="E63" s="356">
        <v>265</v>
      </c>
      <c r="F63" s="356">
        <v>0</v>
      </c>
      <c r="G63" s="356">
        <v>0</v>
      </c>
      <c r="H63" s="356">
        <v>188717</v>
      </c>
      <c r="I63" s="356">
        <v>0</v>
      </c>
      <c r="J63" s="356">
        <v>0</v>
      </c>
      <c r="K63" s="356">
        <v>0</v>
      </c>
      <c r="L63" s="356">
        <v>2115148</v>
      </c>
      <c r="M63" s="356">
        <v>808113</v>
      </c>
      <c r="N63" s="385">
        <f t="shared" si="16"/>
        <v>3112243</v>
      </c>
      <c r="O63" s="158">
        <f t="shared" si="17"/>
        <v>133082417</v>
      </c>
    </row>
    <row r="64" spans="1:33" s="255" customFormat="1" ht="20.149999999999999" hidden="1" customHeight="1" outlineLevel="1" x14ac:dyDescent="0.55000000000000004">
      <c r="A64" s="261"/>
      <c r="B64" s="545" t="s">
        <v>24</v>
      </c>
      <c r="C64" s="356">
        <v>179076540</v>
      </c>
      <c r="D64" s="356">
        <v>579102</v>
      </c>
      <c r="E64" s="356">
        <v>81901</v>
      </c>
      <c r="F64" s="356">
        <v>0</v>
      </c>
      <c r="G64" s="356">
        <v>353</v>
      </c>
      <c r="H64" s="356">
        <v>403316</v>
      </c>
      <c r="I64" s="356">
        <v>150394</v>
      </c>
      <c r="J64" s="356">
        <v>0</v>
      </c>
      <c r="K64" s="356">
        <v>0</v>
      </c>
      <c r="L64" s="356">
        <v>5392453</v>
      </c>
      <c r="M64" s="356">
        <v>3293052</v>
      </c>
      <c r="N64" s="385">
        <f t="shared" si="16"/>
        <v>9900571</v>
      </c>
      <c r="O64" s="393">
        <f t="shared" si="17"/>
        <v>188977111</v>
      </c>
    </row>
    <row r="65" spans="1:33" s="255" customFormat="1" ht="20.149999999999999" hidden="1" customHeight="1" outlineLevel="1" x14ac:dyDescent="0.55000000000000004">
      <c r="A65" s="261"/>
      <c r="B65" s="545" t="s">
        <v>25</v>
      </c>
      <c r="C65" s="356">
        <v>217290924</v>
      </c>
      <c r="D65" s="356">
        <v>574329</v>
      </c>
      <c r="E65" s="356">
        <v>265583</v>
      </c>
      <c r="F65" s="356">
        <v>0</v>
      </c>
      <c r="G65" s="356">
        <v>3699</v>
      </c>
      <c r="H65" s="356">
        <v>1587639</v>
      </c>
      <c r="I65" s="356">
        <v>230320</v>
      </c>
      <c r="J65" s="356">
        <v>4085607</v>
      </c>
      <c r="K65" s="356">
        <v>0</v>
      </c>
      <c r="L65" s="356">
        <v>6525808</v>
      </c>
      <c r="M65" s="356">
        <v>15383234</v>
      </c>
      <c r="N65" s="385">
        <f t="shared" si="16"/>
        <v>28656219</v>
      </c>
      <c r="O65" s="158">
        <f t="shared" si="17"/>
        <v>245947143</v>
      </c>
    </row>
    <row r="66" spans="1:33" s="255" customFormat="1" ht="20.149999999999999" hidden="1" customHeight="1" outlineLevel="1" x14ac:dyDescent="0.55000000000000004">
      <c r="A66" s="261"/>
      <c r="B66" s="545" t="s">
        <v>26</v>
      </c>
      <c r="C66" s="356">
        <v>331374377</v>
      </c>
      <c r="D66" s="356">
        <v>4907928</v>
      </c>
      <c r="E66" s="356">
        <v>1434611</v>
      </c>
      <c r="F66" s="356">
        <v>110</v>
      </c>
      <c r="G66" s="356">
        <v>3817</v>
      </c>
      <c r="H66" s="356">
        <v>349249</v>
      </c>
      <c r="I66" s="356">
        <v>58923</v>
      </c>
      <c r="J66" s="356">
        <v>2559292</v>
      </c>
      <c r="K66" s="356">
        <v>0</v>
      </c>
      <c r="L66" s="356">
        <v>1491846</v>
      </c>
      <c r="M66" s="356">
        <v>26229156</v>
      </c>
      <c r="N66" s="385">
        <f t="shared" si="16"/>
        <v>37034932</v>
      </c>
      <c r="O66" s="158">
        <f t="shared" si="17"/>
        <v>368409309</v>
      </c>
    </row>
    <row r="67" spans="1:33" s="255" customFormat="1" ht="20.149999999999999" customHeight="1" collapsed="1" x14ac:dyDescent="0.55000000000000004">
      <c r="A67" s="21"/>
      <c r="B67" s="354" t="s">
        <v>127</v>
      </c>
      <c r="C67" s="356">
        <v>2532860658</v>
      </c>
      <c r="D67" s="356">
        <v>9968665</v>
      </c>
      <c r="E67" s="356">
        <v>2189051</v>
      </c>
      <c r="F67" s="356">
        <v>22900</v>
      </c>
      <c r="G67" s="356">
        <v>24159</v>
      </c>
      <c r="H67" s="356">
        <v>5463444</v>
      </c>
      <c r="I67" s="356">
        <v>712954</v>
      </c>
      <c r="J67" s="356">
        <v>15157174</v>
      </c>
      <c r="K67" s="356">
        <v>284024</v>
      </c>
      <c r="L67" s="356">
        <v>62781095</v>
      </c>
      <c r="M67" s="356">
        <v>74012368</v>
      </c>
      <c r="N67" s="385">
        <f t="shared" si="10"/>
        <v>170615834</v>
      </c>
      <c r="O67" s="158">
        <f t="shared" si="11"/>
        <v>2703476492</v>
      </c>
      <c r="P67" s="253"/>
      <c r="Q67" s="40"/>
      <c r="R67" s="40"/>
      <c r="S67" s="40"/>
      <c r="T67" s="40"/>
      <c r="U67" s="40"/>
      <c r="V67" s="40"/>
      <c r="W67" s="40"/>
      <c r="X67" s="40"/>
      <c r="Y67" s="40"/>
      <c r="Z67" s="40"/>
      <c r="AA67" s="40"/>
      <c r="AB67" s="40"/>
      <c r="AC67" s="40"/>
      <c r="AD67" s="40"/>
      <c r="AE67" s="40"/>
      <c r="AF67" s="40"/>
      <c r="AG67" s="40"/>
    </row>
    <row r="68" spans="1:33" ht="20.149999999999999" customHeight="1" x14ac:dyDescent="0.3">
      <c r="A68" s="2"/>
      <c r="B68" s="548" t="s">
        <v>1101</v>
      </c>
      <c r="C68" s="543"/>
      <c r="D68" s="543"/>
      <c r="E68" s="543"/>
      <c r="F68" s="543"/>
      <c r="G68" s="543"/>
      <c r="H68" s="543"/>
      <c r="I68" s="543"/>
      <c r="J68" s="543"/>
      <c r="K68" s="543"/>
      <c r="L68" s="543"/>
      <c r="M68" s="543"/>
      <c r="N68" s="543"/>
      <c r="O68" s="543"/>
    </row>
    <row r="69" spans="1:33" s="255" customFormat="1" ht="20.149999999999999" hidden="1" customHeight="1" outlineLevel="1" x14ac:dyDescent="0.55000000000000004">
      <c r="A69" s="34"/>
      <c r="B69" s="544" t="s">
        <v>18</v>
      </c>
      <c r="C69" s="615">
        <v>437566136</v>
      </c>
      <c r="D69" s="615">
        <v>98382</v>
      </c>
      <c r="E69" s="615">
        <v>38145</v>
      </c>
      <c r="F69" s="615">
        <v>0</v>
      </c>
      <c r="G69" s="615">
        <v>0</v>
      </c>
      <c r="H69" s="615">
        <v>521870</v>
      </c>
      <c r="I69" s="615">
        <v>0</v>
      </c>
      <c r="J69" s="615">
        <v>904880</v>
      </c>
      <c r="K69" s="615">
        <v>0</v>
      </c>
      <c r="L69" s="615">
        <v>13036181</v>
      </c>
      <c r="M69" s="615">
        <v>3800430</v>
      </c>
      <c r="N69" s="616">
        <f t="shared" ref="N69:N77" si="18">SUM(D69:M69)</f>
        <v>18399888</v>
      </c>
      <c r="O69" s="617">
        <f t="shared" ref="O69:O77" si="19">C69+N69</f>
        <v>455966024</v>
      </c>
    </row>
    <row r="70" spans="1:33" s="255" customFormat="1" ht="20.149999999999999" hidden="1" customHeight="1" outlineLevel="1" x14ac:dyDescent="0.55000000000000004">
      <c r="A70" s="34"/>
      <c r="B70" s="545" t="s">
        <v>19</v>
      </c>
      <c r="C70" s="361">
        <v>219942797</v>
      </c>
      <c r="D70" s="361">
        <v>0</v>
      </c>
      <c r="E70" s="361">
        <v>0</v>
      </c>
      <c r="F70" s="361">
        <v>0</v>
      </c>
      <c r="G70" s="361">
        <v>5675</v>
      </c>
      <c r="H70" s="361">
        <v>329006</v>
      </c>
      <c r="I70" s="361">
        <v>0</v>
      </c>
      <c r="J70" s="361">
        <v>229339</v>
      </c>
      <c r="K70" s="361">
        <v>284024</v>
      </c>
      <c r="L70" s="361">
        <v>8365042</v>
      </c>
      <c r="M70" s="361">
        <v>6799741</v>
      </c>
      <c r="N70" s="616">
        <f t="shared" si="18"/>
        <v>16012827</v>
      </c>
      <c r="O70" s="617">
        <f t="shared" si="19"/>
        <v>235955624</v>
      </c>
    </row>
    <row r="71" spans="1:33" s="255" customFormat="1" ht="20.149999999999999" hidden="1" customHeight="1" outlineLevel="1" x14ac:dyDescent="0.55000000000000004">
      <c r="A71" s="261"/>
      <c r="B71" s="545" t="s">
        <v>20</v>
      </c>
      <c r="C71" s="615">
        <v>626063652</v>
      </c>
      <c r="D71" s="615">
        <v>0</v>
      </c>
      <c r="E71" s="615">
        <v>0</v>
      </c>
      <c r="F71" s="615">
        <v>0</v>
      </c>
      <c r="G71" s="615">
        <v>0</v>
      </c>
      <c r="H71" s="615">
        <v>20032</v>
      </c>
      <c r="I71" s="615">
        <v>8948</v>
      </c>
      <c r="J71" s="615">
        <v>0</v>
      </c>
      <c r="K71" s="615">
        <v>0</v>
      </c>
      <c r="L71" s="615">
        <v>19933551</v>
      </c>
      <c r="M71" s="615">
        <v>2938598</v>
      </c>
      <c r="N71" s="616">
        <f t="shared" si="18"/>
        <v>22901129</v>
      </c>
      <c r="O71" s="617">
        <f t="shared" si="19"/>
        <v>648964781</v>
      </c>
    </row>
    <row r="72" spans="1:33" s="255" customFormat="1" ht="20.149999999999999" hidden="1" customHeight="1" outlineLevel="1" x14ac:dyDescent="0.55000000000000004">
      <c r="A72" s="261"/>
      <c r="B72" s="545" t="s">
        <v>21</v>
      </c>
      <c r="C72" s="615">
        <v>185382080</v>
      </c>
      <c r="D72" s="615">
        <v>0</v>
      </c>
      <c r="E72" s="615">
        <v>40</v>
      </c>
      <c r="F72" s="615">
        <v>654</v>
      </c>
      <c r="G72" s="615">
        <v>0</v>
      </c>
      <c r="H72" s="615">
        <v>22167</v>
      </c>
      <c r="I72" s="615">
        <v>8423</v>
      </c>
      <c r="J72" s="615">
        <v>0</v>
      </c>
      <c r="K72" s="615">
        <v>0</v>
      </c>
      <c r="L72" s="615">
        <v>2872533</v>
      </c>
      <c r="M72" s="615">
        <v>184291</v>
      </c>
      <c r="N72" s="616">
        <f t="shared" si="18"/>
        <v>3088108</v>
      </c>
      <c r="O72" s="617">
        <f t="shared" si="19"/>
        <v>188470188</v>
      </c>
    </row>
    <row r="73" spans="1:33" s="255" customFormat="1" ht="20.149999999999999" hidden="1" customHeight="1" outlineLevel="1" x14ac:dyDescent="0.55000000000000004">
      <c r="A73" s="261"/>
      <c r="B73" s="545" t="s">
        <v>22</v>
      </c>
      <c r="C73" s="615">
        <v>205266431</v>
      </c>
      <c r="D73" s="615">
        <v>3695666</v>
      </c>
      <c r="E73" s="615">
        <v>283738</v>
      </c>
      <c r="F73" s="615">
        <v>22135</v>
      </c>
      <c r="G73" s="615">
        <v>10607</v>
      </c>
      <c r="H73" s="615">
        <v>2041034</v>
      </c>
      <c r="I73" s="615">
        <v>258520</v>
      </c>
      <c r="J73" s="615">
        <v>7378056</v>
      </c>
      <c r="K73" s="615">
        <v>0</v>
      </c>
      <c r="L73" s="615">
        <v>3112717</v>
      </c>
      <c r="M73" s="615">
        <v>13320157</v>
      </c>
      <c r="N73" s="616">
        <f t="shared" si="18"/>
        <v>30122630</v>
      </c>
      <c r="O73" s="617">
        <f t="shared" si="19"/>
        <v>235389061</v>
      </c>
    </row>
    <row r="74" spans="1:33" s="255" customFormat="1" ht="20.149999999999999" hidden="1" customHeight="1" outlineLevel="1" x14ac:dyDescent="0.55000000000000004">
      <c r="A74" s="261"/>
      <c r="B74" s="545" t="s">
        <v>23</v>
      </c>
      <c r="C74" s="615">
        <v>129946810</v>
      </c>
      <c r="D74" s="615">
        <v>0</v>
      </c>
      <c r="E74" s="615">
        <v>265</v>
      </c>
      <c r="F74" s="615">
        <v>0</v>
      </c>
      <c r="G74" s="615">
        <v>0</v>
      </c>
      <c r="H74" s="615">
        <v>194331</v>
      </c>
      <c r="I74" s="615">
        <v>0</v>
      </c>
      <c r="J74" s="615">
        <v>0</v>
      </c>
      <c r="K74" s="615">
        <v>0</v>
      </c>
      <c r="L74" s="615">
        <v>2051708</v>
      </c>
      <c r="M74" s="615">
        <v>835615</v>
      </c>
      <c r="N74" s="616">
        <f t="shared" si="18"/>
        <v>3081919</v>
      </c>
      <c r="O74" s="617">
        <f t="shared" si="19"/>
        <v>133028729</v>
      </c>
    </row>
    <row r="75" spans="1:33" s="255" customFormat="1" ht="20.149999999999999" hidden="1" customHeight="1" outlineLevel="1" x14ac:dyDescent="0.55000000000000004">
      <c r="A75" s="261"/>
      <c r="B75" s="545" t="s">
        <v>24</v>
      </c>
      <c r="C75" s="369">
        <v>180235929</v>
      </c>
      <c r="D75" s="369">
        <v>595916</v>
      </c>
      <c r="E75" s="369">
        <v>84029</v>
      </c>
      <c r="F75" s="369">
        <v>0</v>
      </c>
      <c r="G75" s="369">
        <v>360</v>
      </c>
      <c r="H75" s="369">
        <v>409416</v>
      </c>
      <c r="I75" s="369">
        <v>144727</v>
      </c>
      <c r="J75" s="369">
        <v>0</v>
      </c>
      <c r="K75" s="369">
        <v>0</v>
      </c>
      <c r="L75" s="369">
        <v>5384923</v>
      </c>
      <c r="M75" s="369">
        <v>3394113</v>
      </c>
      <c r="N75" s="610">
        <f t="shared" si="18"/>
        <v>10013484</v>
      </c>
      <c r="O75" s="618">
        <f t="shared" si="19"/>
        <v>190249413</v>
      </c>
    </row>
    <row r="76" spans="1:33" s="255" customFormat="1" ht="20.149999999999999" hidden="1" customHeight="1" outlineLevel="1" x14ac:dyDescent="0.55000000000000004">
      <c r="A76" s="261"/>
      <c r="B76" s="545" t="s">
        <v>25</v>
      </c>
      <c r="C76" s="615">
        <v>218403753</v>
      </c>
      <c r="D76" s="615">
        <v>578138</v>
      </c>
      <c r="E76" s="615">
        <v>264475</v>
      </c>
      <c r="F76" s="615">
        <v>0</v>
      </c>
      <c r="G76" s="615">
        <v>3699</v>
      </c>
      <c r="H76" s="615">
        <v>1575872</v>
      </c>
      <c r="I76" s="615">
        <v>231440</v>
      </c>
      <c r="J76" s="615">
        <v>4085607</v>
      </c>
      <c r="K76" s="615">
        <v>0</v>
      </c>
      <c r="L76" s="615">
        <v>6526066</v>
      </c>
      <c r="M76" s="615">
        <v>16384121</v>
      </c>
      <c r="N76" s="616">
        <f t="shared" si="18"/>
        <v>29649418</v>
      </c>
      <c r="O76" s="617">
        <f t="shared" si="19"/>
        <v>248053171</v>
      </c>
    </row>
    <row r="77" spans="1:33" s="255" customFormat="1" ht="20.149999999999999" hidden="1" customHeight="1" outlineLevel="1" x14ac:dyDescent="0.55000000000000004">
      <c r="A77" s="261"/>
      <c r="B77" s="545" t="s">
        <v>26</v>
      </c>
      <c r="C77" s="361">
        <v>330052342</v>
      </c>
      <c r="D77" s="361">
        <v>5000564</v>
      </c>
      <c r="E77" s="361">
        <v>1518358</v>
      </c>
      <c r="F77" s="361">
        <v>110</v>
      </c>
      <c r="G77" s="361">
        <v>3817</v>
      </c>
      <c r="H77" s="361">
        <v>349718</v>
      </c>
      <c r="I77" s="361">
        <v>60895</v>
      </c>
      <c r="J77" s="361">
        <v>2559292</v>
      </c>
      <c r="K77" s="361">
        <v>0</v>
      </c>
      <c r="L77" s="361">
        <v>1498375</v>
      </c>
      <c r="M77" s="361">
        <v>26355302</v>
      </c>
      <c r="N77" s="391">
        <f t="shared" si="18"/>
        <v>37346431</v>
      </c>
      <c r="O77" s="190">
        <f t="shared" si="19"/>
        <v>367398773</v>
      </c>
    </row>
    <row r="78" spans="1:33" s="255" customFormat="1" ht="20.149999999999999" customHeight="1" collapsed="1" x14ac:dyDescent="0.55000000000000004">
      <c r="A78" s="21"/>
      <c r="B78" s="354" t="s">
        <v>40</v>
      </c>
      <c r="C78" s="356">
        <v>2510820449</v>
      </c>
      <c r="D78" s="356">
        <v>10307690</v>
      </c>
      <c r="E78" s="356">
        <v>2230349</v>
      </c>
      <c r="F78" s="356">
        <v>22682</v>
      </c>
      <c r="G78" s="356">
        <v>24461</v>
      </c>
      <c r="H78" s="356">
        <v>5485806</v>
      </c>
      <c r="I78" s="356">
        <v>751024</v>
      </c>
      <c r="J78" s="356">
        <v>15302923</v>
      </c>
      <c r="K78" s="356">
        <v>284024</v>
      </c>
      <c r="L78" s="356">
        <v>62547662</v>
      </c>
      <c r="M78" s="356">
        <v>74875888</v>
      </c>
      <c r="N78" s="385">
        <f t="shared" si="10"/>
        <v>171832509</v>
      </c>
      <c r="O78" s="158">
        <f t="shared" si="11"/>
        <v>2682652958</v>
      </c>
      <c r="P78" s="253"/>
      <c r="Q78" s="40"/>
      <c r="R78" s="40"/>
      <c r="S78" s="40"/>
      <c r="T78" s="40"/>
      <c r="U78" s="40"/>
      <c r="V78" s="40"/>
      <c r="W78" s="40"/>
      <c r="X78" s="40"/>
      <c r="Y78" s="40"/>
      <c r="Z78" s="40"/>
      <c r="AA78" s="40"/>
      <c r="AB78" s="40"/>
      <c r="AC78" s="40"/>
      <c r="AD78" s="40"/>
      <c r="AE78" s="40"/>
      <c r="AF78" s="40"/>
      <c r="AG78" s="40"/>
    </row>
    <row r="79" spans="1:33" s="255" customFormat="1" ht="20.149999999999999" customHeight="1" x14ac:dyDescent="0.55000000000000004">
      <c r="A79" s="21"/>
      <c r="B79" s="614" t="s">
        <v>3</v>
      </c>
      <c r="C79" s="615">
        <v>2479345912</v>
      </c>
      <c r="D79" s="615">
        <v>10723504</v>
      </c>
      <c r="E79" s="615">
        <v>2365523</v>
      </c>
      <c r="F79" s="615">
        <v>22183</v>
      </c>
      <c r="G79" s="615">
        <v>24773</v>
      </c>
      <c r="H79" s="615">
        <v>5542166</v>
      </c>
      <c r="I79" s="615">
        <v>742703</v>
      </c>
      <c r="J79" s="615">
        <v>16762631</v>
      </c>
      <c r="K79" s="615">
        <v>354995</v>
      </c>
      <c r="L79" s="615">
        <v>61923144</v>
      </c>
      <c r="M79" s="615">
        <v>75823652</v>
      </c>
      <c r="N79" s="616">
        <f t="shared" si="10"/>
        <v>174285274</v>
      </c>
      <c r="O79" s="617">
        <f t="shared" si="11"/>
        <v>2653631186</v>
      </c>
      <c r="P79" s="253"/>
      <c r="Q79" s="40"/>
      <c r="R79" s="40"/>
      <c r="S79" s="40"/>
      <c r="T79" s="40"/>
      <c r="U79" s="40"/>
      <c r="V79" s="40"/>
      <c r="W79" s="40"/>
      <c r="X79" s="40"/>
      <c r="Y79" s="40"/>
      <c r="Z79" s="40"/>
      <c r="AA79" s="40"/>
      <c r="AB79" s="40"/>
      <c r="AC79" s="40"/>
      <c r="AD79" s="40"/>
      <c r="AE79" s="40"/>
      <c r="AF79" s="40"/>
      <c r="AG79" s="40"/>
    </row>
  </sheetData>
  <sortState ref="B66:O68">
    <sortCondition descending="1" ref="B66"/>
  </sortState>
  <customSheetViews>
    <customSheetView guid="{501209ED-4B79-4E52-B95E-748E5E77E24F}" scale="85" hiddenRows="1">
      <pane xSplit="2" ySplit="10" topLeftCell="C11" activePane="bottomRight" state="frozen"/>
      <selection pane="bottomRight" activeCell="C14" sqref="C14:M22"/>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1">
    <mergeCell ref="J10:M10"/>
  </mergeCells>
  <phoneticPr fontId="1"/>
  <conditionalFormatting sqref="N23:O23 C34:O34 C45:O45 C56:O56 C67:O67 C78:O79">
    <cfRule type="containsBlanks" dxfId="268" priority="47">
      <formula>LEN(TRIM(C23))=0</formula>
    </cfRule>
  </conditionalFormatting>
  <conditionalFormatting sqref="C36:O36">
    <cfRule type="containsBlanks" dxfId="267" priority="44">
      <formula>LEN(TRIM(C36))=0</formula>
    </cfRule>
  </conditionalFormatting>
  <conditionalFormatting sqref="C37:O37">
    <cfRule type="containsBlanks" dxfId="266" priority="43">
      <formula>LEN(TRIM(C37))=0</formula>
    </cfRule>
  </conditionalFormatting>
  <conditionalFormatting sqref="C38:O38">
    <cfRule type="containsBlanks" dxfId="265" priority="42">
      <formula>LEN(TRIM(C38))=0</formula>
    </cfRule>
  </conditionalFormatting>
  <conditionalFormatting sqref="C39:O39">
    <cfRule type="containsBlanks" dxfId="264" priority="41">
      <formula>LEN(TRIM(C39))=0</formula>
    </cfRule>
  </conditionalFormatting>
  <conditionalFormatting sqref="C40:O40">
    <cfRule type="containsBlanks" dxfId="263" priority="40">
      <formula>LEN(TRIM(C40))=0</formula>
    </cfRule>
  </conditionalFormatting>
  <conditionalFormatting sqref="C41:O41">
    <cfRule type="containsBlanks" dxfId="262" priority="39">
      <formula>LEN(TRIM(C41))=0</formula>
    </cfRule>
  </conditionalFormatting>
  <conditionalFormatting sqref="C42:O42">
    <cfRule type="containsBlanks" dxfId="261" priority="38">
      <formula>LEN(TRIM(C42))=0</formula>
    </cfRule>
  </conditionalFormatting>
  <conditionalFormatting sqref="C43:O43">
    <cfRule type="containsBlanks" dxfId="260" priority="37">
      <formula>LEN(TRIM(C43))=0</formula>
    </cfRule>
  </conditionalFormatting>
  <conditionalFormatting sqref="C44:O44">
    <cfRule type="containsBlanks" dxfId="259" priority="36">
      <formula>LEN(TRIM(C44))=0</formula>
    </cfRule>
  </conditionalFormatting>
  <conditionalFormatting sqref="C47:O47">
    <cfRule type="containsBlanks" dxfId="258" priority="34">
      <formula>LEN(TRIM(C47))=0</formula>
    </cfRule>
  </conditionalFormatting>
  <conditionalFormatting sqref="C48:O48">
    <cfRule type="containsBlanks" dxfId="257" priority="33">
      <formula>LEN(TRIM(C48))=0</formula>
    </cfRule>
  </conditionalFormatting>
  <conditionalFormatting sqref="C49:O49">
    <cfRule type="containsBlanks" dxfId="256" priority="32">
      <formula>LEN(TRIM(C49))=0</formula>
    </cfRule>
  </conditionalFormatting>
  <conditionalFormatting sqref="C50:O50">
    <cfRule type="containsBlanks" dxfId="255" priority="31">
      <formula>LEN(TRIM(C50))=0</formula>
    </cfRule>
  </conditionalFormatting>
  <conditionalFormatting sqref="C51:O51">
    <cfRule type="containsBlanks" dxfId="254" priority="30">
      <formula>LEN(TRIM(C51))=0</formula>
    </cfRule>
  </conditionalFormatting>
  <conditionalFormatting sqref="C52:O52">
    <cfRule type="containsBlanks" dxfId="253" priority="29">
      <formula>LEN(TRIM(C52))=0</formula>
    </cfRule>
  </conditionalFormatting>
  <conditionalFormatting sqref="C53:O53">
    <cfRule type="containsBlanks" dxfId="252" priority="28">
      <formula>LEN(TRIM(C53))=0</formula>
    </cfRule>
  </conditionalFormatting>
  <conditionalFormatting sqref="C54:O54">
    <cfRule type="containsBlanks" dxfId="251" priority="27">
      <formula>LEN(TRIM(C54))=0</formula>
    </cfRule>
  </conditionalFormatting>
  <conditionalFormatting sqref="C55:O55">
    <cfRule type="containsBlanks" dxfId="250" priority="26">
      <formula>LEN(TRIM(C55))=0</formula>
    </cfRule>
  </conditionalFormatting>
  <conditionalFormatting sqref="C58:O58">
    <cfRule type="containsBlanks" dxfId="249" priority="24">
      <formula>LEN(TRIM(C58))=0</formula>
    </cfRule>
  </conditionalFormatting>
  <conditionalFormatting sqref="C59:O59">
    <cfRule type="containsBlanks" dxfId="248" priority="23">
      <formula>LEN(TRIM(C59))=0</formula>
    </cfRule>
  </conditionalFormatting>
  <conditionalFormatting sqref="C60:O60">
    <cfRule type="containsBlanks" dxfId="247" priority="22">
      <formula>LEN(TRIM(C60))=0</formula>
    </cfRule>
  </conditionalFormatting>
  <conditionalFormatting sqref="C61:O61">
    <cfRule type="containsBlanks" dxfId="246" priority="21">
      <formula>LEN(TRIM(C61))=0</formula>
    </cfRule>
  </conditionalFormatting>
  <conditionalFormatting sqref="C62:O62">
    <cfRule type="containsBlanks" dxfId="245" priority="20">
      <formula>LEN(TRIM(C62))=0</formula>
    </cfRule>
  </conditionalFormatting>
  <conditionalFormatting sqref="C63:O63">
    <cfRule type="containsBlanks" dxfId="244" priority="19">
      <formula>LEN(TRIM(C63))=0</formula>
    </cfRule>
  </conditionalFormatting>
  <conditionalFormatting sqref="C64:O64">
    <cfRule type="containsBlanks" dxfId="243" priority="18">
      <formula>LEN(TRIM(C64))=0</formula>
    </cfRule>
  </conditionalFormatting>
  <conditionalFormatting sqref="C65:O65">
    <cfRule type="containsBlanks" dxfId="242" priority="17">
      <formula>LEN(TRIM(C65))=0</formula>
    </cfRule>
  </conditionalFormatting>
  <conditionalFormatting sqref="C66:O66">
    <cfRule type="containsBlanks" dxfId="241" priority="16">
      <formula>LEN(TRIM(C66))=0</formula>
    </cfRule>
  </conditionalFormatting>
  <conditionalFormatting sqref="C69:O69">
    <cfRule type="containsBlanks" dxfId="240" priority="14">
      <formula>LEN(TRIM(C69))=0</formula>
    </cfRule>
  </conditionalFormatting>
  <conditionalFormatting sqref="C70:O70">
    <cfRule type="containsBlanks" dxfId="239" priority="13">
      <formula>LEN(TRIM(C70))=0</formula>
    </cfRule>
  </conditionalFormatting>
  <conditionalFormatting sqref="C71:O71">
    <cfRule type="containsBlanks" dxfId="238" priority="12">
      <formula>LEN(TRIM(C71))=0</formula>
    </cfRule>
  </conditionalFormatting>
  <conditionalFormatting sqref="C72:O72">
    <cfRule type="containsBlanks" dxfId="237" priority="11">
      <formula>LEN(TRIM(C72))=0</formula>
    </cfRule>
  </conditionalFormatting>
  <conditionalFormatting sqref="C73:O73">
    <cfRule type="containsBlanks" dxfId="236" priority="10">
      <formula>LEN(TRIM(C73))=0</formula>
    </cfRule>
  </conditionalFormatting>
  <conditionalFormatting sqref="C74:O74">
    <cfRule type="containsBlanks" dxfId="235" priority="9">
      <formula>LEN(TRIM(C74))=0</formula>
    </cfRule>
  </conditionalFormatting>
  <conditionalFormatting sqref="C75:O75">
    <cfRule type="containsBlanks" dxfId="234" priority="8">
      <formula>LEN(TRIM(C75))=0</formula>
    </cfRule>
  </conditionalFormatting>
  <conditionalFormatting sqref="C76:O76">
    <cfRule type="containsBlanks" dxfId="233" priority="7">
      <formula>LEN(TRIM(C76))=0</formula>
    </cfRule>
  </conditionalFormatting>
  <conditionalFormatting sqref="C77:O77">
    <cfRule type="containsBlanks" dxfId="232" priority="6">
      <formula>LEN(TRIM(C77))=0</formula>
    </cfRule>
  </conditionalFormatting>
  <conditionalFormatting sqref="C23:M23">
    <cfRule type="containsBlanks" dxfId="231" priority="5">
      <formula>LEN(TRIM(C23))=0</formula>
    </cfRule>
  </conditionalFormatting>
  <conditionalFormatting sqref="N12:O12">
    <cfRule type="containsBlanks" dxfId="230" priority="3">
      <formula>LEN(TRIM(N12))=0</formula>
    </cfRule>
  </conditionalFormatting>
  <conditionalFormatting sqref="C12:M12">
    <cfRule type="containsBlanks" dxfId="229" priority="2">
      <formula>LEN(TRIM(C12))=0</formula>
    </cfRule>
  </conditionalFormatting>
  <conditionalFormatting sqref="C14:M22">
    <cfRule type="containsBlanks" dxfId="228" priority="48">
      <formula>LEN(TRIM(C14))=0</formula>
    </cfRule>
  </conditionalFormatting>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extLst>
    <ext xmlns:x14="http://schemas.microsoft.com/office/spreadsheetml/2009/9/main" uri="{78C0D931-6437-407d-A8EE-F0AAD7539E65}">
      <x14:conditionalFormattings>
        <x14:conditionalFormatting xmlns:xm="http://schemas.microsoft.com/office/excel/2006/main">
          <x14:cfRule type="containsBlanks" priority="4" id="{60937928-0AB1-4B48-B5BE-B4D630AE8D88}">
            <xm:f>LEN(TRIM('\\fs1.kobe.local\sec\201_固定資産税課（指導）\01_課税調整（庶務）\47 各種集計事務（税務統計、神戸市統計書）\税務統計\R5\01_各ライン回答\土地回答\[土地_R5税務統計書（抜粋）.xlsx]3(2)固定資産税（地目別地積の推移（土地））'!#REF!))=0</xm:f>
            <x14:dxf>
              <fill>
                <patternFill>
                  <bgColor rgb="FFFFFF00"/>
                </patternFill>
              </fill>
            </x14:dxf>
          </x14:cfRule>
          <xm:sqref>C25:M33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zoomScaleNormal="100" workbookViewId="0">
      <pane xSplit="2" ySplit="10" topLeftCell="F11" activePane="bottomRight" state="frozen"/>
      <selection pane="topRight" activeCell="C1" sqref="C1"/>
      <selection pane="bottomLeft" activeCell="A11" sqref="A11"/>
      <selection pane="bottomRight" activeCell="B1" sqref="B1"/>
    </sheetView>
  </sheetViews>
  <sheetFormatPr defaultColWidth="8.58203125" defaultRowHeight="14.5" outlineLevelRow="1" x14ac:dyDescent="0.35"/>
  <cols>
    <col min="1" max="1" width="6.58203125" style="4" bestFit="1" customWidth="1"/>
    <col min="2" max="2" width="10.33203125" style="1" bestFit="1" customWidth="1"/>
    <col min="3" max="3" width="8.58203125" style="1" customWidth="1"/>
    <col min="4" max="5" width="8.58203125" style="2" customWidth="1"/>
    <col min="6" max="6" width="10.58203125" style="4" customWidth="1"/>
    <col min="7" max="8" width="10.58203125" style="1" customWidth="1"/>
    <col min="9" max="14" width="13.58203125" style="1" customWidth="1"/>
    <col min="15" max="29" width="10.83203125" style="1" bestFit="1" customWidth="1"/>
    <col min="30" max="31" width="10.33203125" style="1" bestFit="1" customWidth="1"/>
    <col min="32" max="16384" width="8.58203125" style="1"/>
  </cols>
  <sheetData>
    <row r="1" spans="1:31" x14ac:dyDescent="0.35">
      <c r="A1" s="433" t="s">
        <v>438</v>
      </c>
      <c r="B1" s="433"/>
    </row>
    <row r="3" spans="1:31" s="253" customFormat="1" ht="20.149999999999999" customHeight="1" x14ac:dyDescent="0.55000000000000004">
      <c r="A3" s="252" t="s">
        <v>120</v>
      </c>
    </row>
    <row r="4" spans="1:31" s="253" customFormat="1" ht="20.149999999999999" customHeight="1" x14ac:dyDescent="0.55000000000000004">
      <c r="A4" s="252" t="s">
        <v>155</v>
      </c>
    </row>
    <row r="5" spans="1:31" s="253" customFormat="1" ht="14.5" customHeight="1" x14ac:dyDescent="0.55000000000000004">
      <c r="A5" s="46"/>
    </row>
    <row r="6" spans="1:31" s="253" customFormat="1" ht="14.5" customHeight="1" x14ac:dyDescent="0.55000000000000004">
      <c r="A6" s="17" t="s">
        <v>28</v>
      </c>
      <c r="B6" s="30" t="s">
        <v>1118</v>
      </c>
    </row>
    <row r="7" spans="1:31" s="253" customFormat="1" ht="14.5" customHeight="1" x14ac:dyDescent="0.55000000000000004">
      <c r="B7" s="30" t="s">
        <v>1119</v>
      </c>
    </row>
    <row r="8" spans="1:31" s="253" customFormat="1" ht="14.5" customHeight="1" x14ac:dyDescent="0.55000000000000004">
      <c r="B8" s="30" t="s">
        <v>1120</v>
      </c>
    </row>
    <row r="9" spans="1:31" s="253" customFormat="1" ht="14.5" customHeight="1" x14ac:dyDescent="0.55000000000000004">
      <c r="A9" s="21"/>
      <c r="B9" s="30" t="s">
        <v>1121</v>
      </c>
      <c r="C9" s="421"/>
      <c r="D9" s="421"/>
      <c r="E9" s="421"/>
      <c r="F9" s="421"/>
      <c r="G9" s="421"/>
      <c r="H9" s="421"/>
      <c r="I9" s="421"/>
      <c r="J9" s="421"/>
      <c r="K9" s="421"/>
      <c r="L9" s="421"/>
      <c r="M9" s="421"/>
      <c r="N9" s="421"/>
    </row>
    <row r="10" spans="1:31" s="255" customFormat="1" ht="20.149999999999999" customHeight="1" x14ac:dyDescent="0.55000000000000004">
      <c r="A10" s="21"/>
      <c r="B10" s="327"/>
      <c r="C10" s="672" t="s">
        <v>160</v>
      </c>
      <c r="D10" s="672"/>
      <c r="E10" s="672"/>
      <c r="F10" s="672" t="s">
        <v>161</v>
      </c>
      <c r="G10" s="672"/>
      <c r="H10" s="672"/>
      <c r="I10" s="672" t="s">
        <v>162</v>
      </c>
      <c r="J10" s="672"/>
      <c r="K10" s="672"/>
      <c r="L10" s="672" t="s">
        <v>163</v>
      </c>
      <c r="M10" s="672"/>
      <c r="N10" s="672"/>
      <c r="O10" s="40"/>
      <c r="P10" s="40"/>
      <c r="Q10" s="40"/>
      <c r="R10" s="40"/>
      <c r="S10" s="40"/>
      <c r="T10" s="40"/>
      <c r="U10" s="40"/>
      <c r="V10" s="40"/>
      <c r="W10" s="40"/>
      <c r="X10" s="40"/>
      <c r="Y10" s="40"/>
      <c r="Z10" s="40"/>
      <c r="AA10" s="40"/>
      <c r="AB10" s="40"/>
      <c r="AC10" s="40"/>
      <c r="AD10" s="40"/>
      <c r="AE10" s="40"/>
    </row>
    <row r="11" spans="1:31" s="21" customFormat="1" ht="20.149999999999999" customHeight="1" x14ac:dyDescent="0.55000000000000004">
      <c r="B11" s="327"/>
      <c r="C11" s="365" t="s">
        <v>158</v>
      </c>
      <c r="D11" s="365" t="s">
        <v>159</v>
      </c>
      <c r="E11" s="365" t="s">
        <v>124</v>
      </c>
      <c r="F11" s="365" t="s">
        <v>158</v>
      </c>
      <c r="G11" s="365" t="s">
        <v>159</v>
      </c>
      <c r="H11" s="365" t="s">
        <v>124</v>
      </c>
      <c r="I11" s="365" t="s">
        <v>158</v>
      </c>
      <c r="J11" s="365" t="s">
        <v>159</v>
      </c>
      <c r="K11" s="365" t="s">
        <v>124</v>
      </c>
      <c r="L11" s="365" t="s">
        <v>158</v>
      </c>
      <c r="M11" s="365" t="s">
        <v>159</v>
      </c>
      <c r="N11" s="365" t="s">
        <v>124</v>
      </c>
      <c r="O11" s="45"/>
      <c r="P11" s="45"/>
      <c r="Q11" s="45"/>
      <c r="R11" s="45"/>
      <c r="S11" s="45"/>
      <c r="T11" s="45"/>
      <c r="U11" s="45"/>
      <c r="V11" s="45"/>
      <c r="W11" s="45"/>
      <c r="X11" s="45"/>
      <c r="Y11" s="45"/>
      <c r="Z11" s="45"/>
      <c r="AA11" s="45"/>
      <c r="AB11" s="45"/>
      <c r="AC11" s="45"/>
      <c r="AD11" s="45"/>
      <c r="AE11" s="45"/>
    </row>
    <row r="12" spans="1:31" s="255" customFormat="1" ht="20.149999999999999" customHeight="1" x14ac:dyDescent="0.55000000000000004">
      <c r="A12" s="21"/>
      <c r="B12" s="353" t="s">
        <v>1127</v>
      </c>
      <c r="C12" s="578">
        <f>SUM(C14:C22)</f>
        <v>263828</v>
      </c>
      <c r="D12" s="578">
        <f>SUM(D14:D22)</f>
        <v>389671</v>
      </c>
      <c r="E12" s="364">
        <f t="shared" ref="E12" si="0">SUM(C12:D12)</f>
        <v>653499</v>
      </c>
      <c r="F12" s="578">
        <f>ROUND(26698572.43,0)</f>
        <v>26698572</v>
      </c>
      <c r="G12" s="578">
        <f>ROUND(67987955.43,0)</f>
        <v>67987955</v>
      </c>
      <c r="H12" s="364">
        <f t="shared" ref="H12" si="1">SUM(F12:G12)</f>
        <v>94686527</v>
      </c>
      <c r="I12" s="578">
        <f>ROUND(7078439718*100/1000,0)</f>
        <v>707843972</v>
      </c>
      <c r="J12" s="578">
        <f>ROUND(37884222825*100/1000,0)</f>
        <v>3788422283</v>
      </c>
      <c r="K12" s="364">
        <f t="shared" ref="K12" si="2">SUM(I12:J12)</f>
        <v>4496266255</v>
      </c>
      <c r="L12" s="578">
        <f>ROUND(6642845254*100/1000,0)</f>
        <v>664284525</v>
      </c>
      <c r="M12" s="578">
        <f>ROUND(36895658562*100/1000,0)</f>
        <v>3689565856</v>
      </c>
      <c r="N12" s="364">
        <f>SUM(L12:M12)</f>
        <v>4353850381</v>
      </c>
      <c r="O12" s="40"/>
      <c r="P12" s="40"/>
      <c r="Q12" s="40"/>
      <c r="R12" s="40"/>
      <c r="S12" s="40"/>
      <c r="T12" s="40"/>
      <c r="U12" s="40"/>
      <c r="V12" s="40"/>
      <c r="W12" s="40"/>
      <c r="X12" s="40"/>
      <c r="Y12" s="40"/>
      <c r="Z12" s="40"/>
      <c r="AA12" s="40"/>
      <c r="AB12" s="40"/>
      <c r="AC12" s="40"/>
      <c r="AD12" s="40"/>
      <c r="AE12" s="40"/>
    </row>
    <row r="13" spans="1:31" ht="20.149999999999999" customHeight="1" x14ac:dyDescent="0.3">
      <c r="A13" s="2"/>
      <c r="B13" s="548" t="s">
        <v>1101</v>
      </c>
      <c r="C13" s="543"/>
      <c r="D13" s="543"/>
      <c r="E13" s="543"/>
      <c r="F13" s="543"/>
      <c r="G13" s="543"/>
      <c r="H13" s="543"/>
      <c r="I13" s="543"/>
      <c r="J13" s="543"/>
      <c r="K13" s="543"/>
      <c r="L13" s="543"/>
      <c r="M13" s="543"/>
      <c r="N13" s="543"/>
    </row>
    <row r="14" spans="1:31" s="255" customFormat="1" ht="20.149999999999999" customHeight="1" outlineLevel="1" x14ac:dyDescent="0.55000000000000004">
      <c r="A14" s="34"/>
      <c r="B14" s="544" t="s">
        <v>18</v>
      </c>
      <c r="C14" s="815">
        <v>20995</v>
      </c>
      <c r="D14" s="356">
        <v>62230</v>
      </c>
      <c r="E14" s="357">
        <f t="shared" ref="E14:E22" si="3">SUM(C14:D14)</f>
        <v>83225</v>
      </c>
      <c r="F14" s="356">
        <f>ROUND(2203669.76,0)</f>
        <v>2203670</v>
      </c>
      <c r="G14" s="356">
        <f>ROUND(10837417.46,0)</f>
        <v>10837417</v>
      </c>
      <c r="H14" s="357">
        <f t="shared" ref="H14:H22" si="4">SUM(F14:G14)</f>
        <v>13041087</v>
      </c>
      <c r="I14" s="356">
        <f>ROUND(698733810*100/1000,0)</f>
        <v>69873381</v>
      </c>
      <c r="J14" s="356">
        <f>ROUND(6014077774*100/1000,0)</f>
        <v>601407777</v>
      </c>
      <c r="K14" s="357">
        <f t="shared" ref="K14:K22" si="5">SUM(I14:J14)</f>
        <v>671281158</v>
      </c>
      <c r="L14" s="370">
        <f>ROUND(644441603*100/1000,0)</f>
        <v>64444160</v>
      </c>
      <c r="M14" s="356">
        <f>ROUND(5908208491*100/1000,0)</f>
        <v>590820849</v>
      </c>
      <c r="N14" s="379">
        <f t="shared" ref="N14:N22" si="6">SUM(D14:M14)</f>
        <v>2024054954</v>
      </c>
    </row>
    <row r="15" spans="1:31" s="255" customFormat="1" ht="20.149999999999999" customHeight="1" outlineLevel="1" x14ac:dyDescent="0.55000000000000004">
      <c r="A15" s="34"/>
      <c r="B15" s="545" t="s">
        <v>19</v>
      </c>
      <c r="C15" s="815">
        <v>17106</v>
      </c>
      <c r="D15" s="356">
        <v>35236</v>
      </c>
      <c r="E15" s="357">
        <f t="shared" si="3"/>
        <v>52342</v>
      </c>
      <c r="F15" s="356">
        <f>ROUND(1637805.21,0)</f>
        <v>1637805</v>
      </c>
      <c r="G15" s="356">
        <f>ROUND(5719541.07,0)</f>
        <v>5719541</v>
      </c>
      <c r="H15" s="357">
        <f t="shared" si="4"/>
        <v>7357346</v>
      </c>
      <c r="I15" s="356">
        <f>ROUND(472420832*100/1000,0)</f>
        <v>47242083</v>
      </c>
      <c r="J15" s="356">
        <f>ROUND(3268267962*100/1000,0)</f>
        <v>326826796</v>
      </c>
      <c r="K15" s="357">
        <f t="shared" si="5"/>
        <v>374068879</v>
      </c>
      <c r="L15" s="370">
        <f>ROUND(432755291*100/1000,0)</f>
        <v>43275529</v>
      </c>
      <c r="M15" s="356">
        <f>ROUND(3199030899*100/1000,0)</f>
        <v>319903090</v>
      </c>
      <c r="N15" s="379">
        <f t="shared" si="6"/>
        <v>1126118647</v>
      </c>
    </row>
    <row r="16" spans="1:31" s="255" customFormat="1" ht="20.149999999999999" customHeight="1" outlineLevel="1" x14ac:dyDescent="0.55000000000000004">
      <c r="A16" s="261"/>
      <c r="B16" s="545" t="s">
        <v>20</v>
      </c>
      <c r="C16" s="815">
        <v>9412</v>
      </c>
      <c r="D16" s="356">
        <v>62434</v>
      </c>
      <c r="E16" s="357">
        <f t="shared" si="3"/>
        <v>71846</v>
      </c>
      <c r="F16" s="356">
        <f>ROUND(841151.28,0)</f>
        <v>841151</v>
      </c>
      <c r="G16" s="356">
        <f>ROUND(14824750.8,0)</f>
        <v>14824751</v>
      </c>
      <c r="H16" s="357">
        <f t="shared" si="4"/>
        <v>15665902</v>
      </c>
      <c r="I16" s="356">
        <f>ROUND(197473569*100/1000,0)</f>
        <v>19747357</v>
      </c>
      <c r="J16" s="356">
        <f>ROUND(10476963220*100/1000,0)</f>
        <v>1047696322</v>
      </c>
      <c r="K16" s="357">
        <f t="shared" si="5"/>
        <v>1067443679</v>
      </c>
      <c r="L16" s="370">
        <f>ROUND(182853303*100/1000,0)</f>
        <v>18285330</v>
      </c>
      <c r="M16" s="356">
        <f>ROUND(10216123569*100/1000,0)</f>
        <v>1021612357</v>
      </c>
      <c r="N16" s="379">
        <f t="shared" si="6"/>
        <v>3206251129</v>
      </c>
    </row>
    <row r="17" spans="1:31" s="255" customFormat="1" ht="20.149999999999999" customHeight="1" outlineLevel="1" x14ac:dyDescent="0.55000000000000004">
      <c r="A17" s="261"/>
      <c r="B17" s="545" t="s">
        <v>21</v>
      </c>
      <c r="C17" s="815">
        <v>16337</v>
      </c>
      <c r="D17" s="356">
        <v>32402</v>
      </c>
      <c r="E17" s="357">
        <f t="shared" si="3"/>
        <v>48739</v>
      </c>
      <c r="F17" s="356">
        <f>ROUND(1365243.14,0)</f>
        <v>1365243</v>
      </c>
      <c r="G17" s="356">
        <f>ROUND(5427894.62,0)</f>
        <v>5427895</v>
      </c>
      <c r="H17" s="357">
        <f t="shared" si="4"/>
        <v>6793138</v>
      </c>
      <c r="I17" s="356">
        <f>ROUND(311720592*100/1000,0)</f>
        <v>31172059</v>
      </c>
      <c r="J17" s="356">
        <f>ROUND(2833750369*100/1000,0)</f>
        <v>283375037</v>
      </c>
      <c r="K17" s="357">
        <f t="shared" si="5"/>
        <v>314547096</v>
      </c>
      <c r="L17" s="370">
        <f>ROUND(286773940*100/1000,0)</f>
        <v>28677394</v>
      </c>
      <c r="M17" s="356">
        <f>ROUND(2794502393*100/1000,0)</f>
        <v>279450239</v>
      </c>
      <c r="N17" s="379">
        <f t="shared" si="6"/>
        <v>950889242</v>
      </c>
    </row>
    <row r="18" spans="1:31" s="255" customFormat="1" ht="20.149999999999999" customHeight="1" outlineLevel="1" x14ac:dyDescent="0.55000000000000004">
      <c r="A18" s="261"/>
      <c r="B18" s="545" t="s">
        <v>22</v>
      </c>
      <c r="C18" s="815">
        <v>57186</v>
      </c>
      <c r="D18" s="356">
        <v>41411</v>
      </c>
      <c r="E18" s="357">
        <f t="shared" si="3"/>
        <v>98597</v>
      </c>
      <c r="F18" s="356">
        <f>ROUND(6178682.75,0)</f>
        <v>6178683</v>
      </c>
      <c r="G18" s="356">
        <f>ROUND(6404463.81,0)</f>
        <v>6404464</v>
      </c>
      <c r="H18" s="357">
        <f t="shared" si="4"/>
        <v>12583147</v>
      </c>
      <c r="I18" s="356">
        <f>ROUND(1621914528*100/1000,0)</f>
        <v>162191453</v>
      </c>
      <c r="J18" s="356">
        <f>ROUND(2935884685*100/1000,0)</f>
        <v>293588469</v>
      </c>
      <c r="K18" s="357">
        <f t="shared" si="5"/>
        <v>455779922</v>
      </c>
      <c r="L18" s="370">
        <f>ROUND(1531926012*100/1000,0)</f>
        <v>153192601</v>
      </c>
      <c r="M18" s="356">
        <f>ROUND(2886079484*100/1000,0)</f>
        <v>288607948</v>
      </c>
      <c r="N18" s="379">
        <f t="shared" si="6"/>
        <v>1378666695</v>
      </c>
    </row>
    <row r="19" spans="1:31" s="255" customFormat="1" ht="20.149999999999999" customHeight="1" outlineLevel="1" x14ac:dyDescent="0.55000000000000004">
      <c r="A19" s="261"/>
      <c r="B19" s="545" t="s">
        <v>23</v>
      </c>
      <c r="C19" s="815">
        <v>22870</v>
      </c>
      <c r="D19" s="356">
        <v>20954</v>
      </c>
      <c r="E19" s="357">
        <f t="shared" si="3"/>
        <v>43824</v>
      </c>
      <c r="F19" s="356">
        <f>ROUND(1973907.26,0)</f>
        <v>1973907</v>
      </c>
      <c r="G19" s="356">
        <f>ROUND(3155088.76,0)</f>
        <v>3155089</v>
      </c>
      <c r="H19" s="357">
        <f t="shared" si="4"/>
        <v>5128996</v>
      </c>
      <c r="I19" s="356">
        <f>ROUND(436446166*100/1000,0)</f>
        <v>43644617</v>
      </c>
      <c r="J19" s="356">
        <f>ROUND(1607805581*100/1000,0)</f>
        <v>160780558</v>
      </c>
      <c r="K19" s="357">
        <f t="shared" si="5"/>
        <v>204425175</v>
      </c>
      <c r="L19" s="370">
        <f>ROUND(415014387*100/1000,0)</f>
        <v>41501439</v>
      </c>
      <c r="M19" s="356">
        <f>ROUND(1577825274*100/1000,0)</f>
        <v>157782527</v>
      </c>
      <c r="N19" s="379">
        <f t="shared" si="6"/>
        <v>618457086</v>
      </c>
    </row>
    <row r="20" spans="1:31" s="255" customFormat="1" ht="20.149999999999999" customHeight="1" outlineLevel="1" x14ac:dyDescent="0.55000000000000004">
      <c r="A20" s="261"/>
      <c r="B20" s="545" t="s">
        <v>24</v>
      </c>
      <c r="C20" s="815">
        <v>25697</v>
      </c>
      <c r="D20" s="356">
        <v>38483</v>
      </c>
      <c r="E20" s="357">
        <f t="shared" si="3"/>
        <v>64180</v>
      </c>
      <c r="F20" s="356">
        <f>ROUND(2620066.96,0)</f>
        <v>2620067</v>
      </c>
      <c r="G20" s="356">
        <f>ROUND(5249748.27,0)</f>
        <v>5249748</v>
      </c>
      <c r="H20" s="357">
        <f t="shared" si="4"/>
        <v>7869815</v>
      </c>
      <c r="I20" s="356">
        <f>ROUND(700132260*100/1000,0)</f>
        <v>70013226</v>
      </c>
      <c r="J20" s="356">
        <f>ROUND(2621254000*100/1000,0)</f>
        <v>262125400</v>
      </c>
      <c r="K20" s="357">
        <f t="shared" si="5"/>
        <v>332138626</v>
      </c>
      <c r="L20" s="370">
        <f>ROUND(651816683*100/1000,0)</f>
        <v>65181668</v>
      </c>
      <c r="M20" s="356">
        <f>ROUND(2557509824*100/1000,0)</f>
        <v>255750982</v>
      </c>
      <c r="N20" s="379">
        <f t="shared" si="6"/>
        <v>1001052195</v>
      </c>
    </row>
    <row r="21" spans="1:31" s="255" customFormat="1" ht="20.149999999999999" customHeight="1" outlineLevel="1" x14ac:dyDescent="0.55000000000000004">
      <c r="A21" s="261"/>
      <c r="B21" s="545" t="s">
        <v>25</v>
      </c>
      <c r="C21" s="815">
        <v>42450</v>
      </c>
      <c r="D21" s="356">
        <v>45446</v>
      </c>
      <c r="E21" s="357">
        <f t="shared" si="3"/>
        <v>87896</v>
      </c>
      <c r="F21" s="356">
        <f>ROUND(4203726.8,0)</f>
        <v>4203727</v>
      </c>
      <c r="G21" s="356">
        <f>ROUND(5813695.99,0)</f>
        <v>5813696</v>
      </c>
      <c r="H21" s="357">
        <f t="shared" si="4"/>
        <v>10017423</v>
      </c>
      <c r="I21" s="356">
        <f>ROUND(1263991759*100/1000,0)</f>
        <v>126399176</v>
      </c>
      <c r="J21" s="356">
        <f>ROUND(2902010734*100/1000,0)</f>
        <v>290201073</v>
      </c>
      <c r="K21" s="357">
        <f t="shared" si="5"/>
        <v>416600249</v>
      </c>
      <c r="L21" s="370">
        <f>ROUND(1186888889*100/1000,0)</f>
        <v>118688889</v>
      </c>
      <c r="M21" s="356">
        <f>ROUND(2852067832*100/1000,0)</f>
        <v>285206783</v>
      </c>
      <c r="N21" s="379">
        <f t="shared" si="6"/>
        <v>1257264358</v>
      </c>
    </row>
    <row r="22" spans="1:31" s="255" customFormat="1" ht="20.149999999999999" customHeight="1" outlineLevel="1" x14ac:dyDescent="0.55000000000000004">
      <c r="A22" s="261"/>
      <c r="B22" s="545" t="s">
        <v>26</v>
      </c>
      <c r="C22" s="815">
        <v>51775</v>
      </c>
      <c r="D22" s="356">
        <v>51075</v>
      </c>
      <c r="E22" s="357">
        <f t="shared" si="3"/>
        <v>102850</v>
      </c>
      <c r="F22" s="356">
        <f>ROUND(5674319.27,0)</f>
        <v>5674319</v>
      </c>
      <c r="G22" s="356">
        <f>ROUND(10555354.65,0)</f>
        <v>10555355</v>
      </c>
      <c r="H22" s="357">
        <f t="shared" si="4"/>
        <v>16229674</v>
      </c>
      <c r="I22" s="356">
        <f>ROUND(1375606202*100/1000,0)</f>
        <v>137560620</v>
      </c>
      <c r="J22" s="356">
        <f>ROUND(5224208500*100/1000,0)</f>
        <v>522420850</v>
      </c>
      <c r="K22" s="357">
        <f t="shared" si="5"/>
        <v>659981470</v>
      </c>
      <c r="L22" s="370">
        <f>ROUND(1310375146*100/1000,0)</f>
        <v>131037515</v>
      </c>
      <c r="M22" s="356">
        <f>ROUND(4904310796*100/1000,0)</f>
        <v>490431080</v>
      </c>
      <c r="N22" s="379">
        <f t="shared" si="6"/>
        <v>1974044808</v>
      </c>
    </row>
    <row r="23" spans="1:31" s="255" customFormat="1" ht="20.149999999999999" customHeight="1" x14ac:dyDescent="0.55000000000000004">
      <c r="A23" s="21"/>
      <c r="B23" s="353" t="s">
        <v>1110</v>
      </c>
      <c r="C23" s="387">
        <f>SUM(C25:C33)</f>
        <v>263683</v>
      </c>
      <c r="D23" s="387">
        <f>SUM(D25:D33)</f>
        <v>388355</v>
      </c>
      <c r="E23" s="532">
        <f t="shared" ref="E23:E33" si="7">SUM(C23:D23)</f>
        <v>652038</v>
      </c>
      <c r="F23" s="387">
        <f>SUM(F25:F33)</f>
        <v>26628525</v>
      </c>
      <c r="G23" s="387">
        <f>SUM(G25:G33)</f>
        <v>67669334</v>
      </c>
      <c r="H23" s="532">
        <f t="shared" ref="H23:H33" si="8">SUM(F23:G23)</f>
        <v>94297859</v>
      </c>
      <c r="I23" s="387">
        <f>SUM(I25:I33)</f>
        <v>707629926</v>
      </c>
      <c r="J23" s="387">
        <f>SUM(J25:J33)</f>
        <v>3799216789</v>
      </c>
      <c r="K23" s="532">
        <f t="shared" ref="K23:K33" si="9">SUM(I23:J23)</f>
        <v>4506846715</v>
      </c>
      <c r="L23" s="387">
        <f>SUM(L25:L33)</f>
        <v>662585245</v>
      </c>
      <c r="M23" s="387">
        <f>SUM(M25:M33)</f>
        <v>3694824371</v>
      </c>
      <c r="N23" s="532">
        <f>SUM(L23:M23)</f>
        <v>4357409616</v>
      </c>
      <c r="O23" s="40"/>
      <c r="P23" s="40"/>
      <c r="Q23" s="40"/>
      <c r="R23" s="40"/>
      <c r="S23" s="40"/>
      <c r="T23" s="40"/>
      <c r="U23" s="40"/>
      <c r="V23" s="40"/>
      <c r="W23" s="40"/>
      <c r="X23" s="40"/>
      <c r="Y23" s="40"/>
      <c r="Z23" s="40"/>
      <c r="AA23" s="40"/>
      <c r="AB23" s="40"/>
      <c r="AC23" s="40"/>
      <c r="AD23" s="40"/>
      <c r="AE23" s="40"/>
    </row>
    <row r="24" spans="1:31" ht="20.149999999999999" customHeight="1" x14ac:dyDescent="0.3">
      <c r="A24" s="2"/>
      <c r="B24" s="548" t="s">
        <v>1101</v>
      </c>
      <c r="C24" s="543"/>
      <c r="D24" s="543"/>
      <c r="E24" s="543"/>
      <c r="F24" s="543"/>
      <c r="G24" s="543"/>
      <c r="H24" s="543"/>
      <c r="I24" s="543"/>
      <c r="J24" s="543"/>
      <c r="K24" s="543"/>
      <c r="L24" s="543"/>
      <c r="M24" s="543"/>
      <c r="N24" s="543"/>
    </row>
    <row r="25" spans="1:31" s="255" customFormat="1" ht="20.149999999999999" hidden="1" customHeight="1" outlineLevel="1" x14ac:dyDescent="0.55000000000000004">
      <c r="A25" s="34"/>
      <c r="B25" s="544" t="s">
        <v>18</v>
      </c>
      <c r="C25" s="579">
        <v>20968</v>
      </c>
      <c r="D25" s="363">
        <v>62172</v>
      </c>
      <c r="E25" s="364">
        <f t="shared" si="7"/>
        <v>83140</v>
      </c>
      <c r="F25" s="363">
        <v>2195649</v>
      </c>
      <c r="G25" s="363">
        <v>10818622</v>
      </c>
      <c r="H25" s="364">
        <f t="shared" si="8"/>
        <v>13014271</v>
      </c>
      <c r="I25" s="363">
        <v>69493846</v>
      </c>
      <c r="J25" s="363">
        <v>605224609</v>
      </c>
      <c r="K25" s="364">
        <f t="shared" si="9"/>
        <v>674718455</v>
      </c>
      <c r="L25" s="580">
        <v>64043367</v>
      </c>
      <c r="M25" s="363">
        <v>592151464</v>
      </c>
      <c r="N25" s="381">
        <f t="shared" ref="N25:N33" si="10">SUM(D25:M25)</f>
        <v>2031805595</v>
      </c>
    </row>
    <row r="26" spans="1:31" s="255" customFormat="1" ht="20.149999999999999" hidden="1" customHeight="1" outlineLevel="1" x14ac:dyDescent="0.55000000000000004">
      <c r="A26" s="34"/>
      <c r="B26" s="545" t="s">
        <v>19</v>
      </c>
      <c r="C26" s="579">
        <v>17076</v>
      </c>
      <c r="D26" s="363">
        <v>35080</v>
      </c>
      <c r="E26" s="364">
        <f t="shared" si="7"/>
        <v>52156</v>
      </c>
      <c r="F26" s="363">
        <v>1631099</v>
      </c>
      <c r="G26" s="363">
        <v>5699219</v>
      </c>
      <c r="H26" s="364">
        <f t="shared" si="8"/>
        <v>7330318</v>
      </c>
      <c r="I26" s="363">
        <v>47113847</v>
      </c>
      <c r="J26" s="363">
        <v>326942883</v>
      </c>
      <c r="K26" s="364">
        <f t="shared" si="9"/>
        <v>374056730</v>
      </c>
      <c r="L26" s="580">
        <v>43061559</v>
      </c>
      <c r="M26" s="363">
        <v>320487603</v>
      </c>
      <c r="N26" s="381">
        <f t="shared" si="10"/>
        <v>1126410494</v>
      </c>
    </row>
    <row r="27" spans="1:31" s="255" customFormat="1" ht="20.149999999999999" hidden="1" customHeight="1" outlineLevel="1" x14ac:dyDescent="0.55000000000000004">
      <c r="A27" s="261"/>
      <c r="B27" s="545" t="s">
        <v>20</v>
      </c>
      <c r="C27" s="579">
        <v>9443</v>
      </c>
      <c r="D27" s="363">
        <v>61704</v>
      </c>
      <c r="E27" s="364">
        <f t="shared" si="7"/>
        <v>71147</v>
      </c>
      <c r="F27" s="363">
        <v>840649</v>
      </c>
      <c r="G27" s="363">
        <v>14675614</v>
      </c>
      <c r="H27" s="364">
        <f t="shared" si="8"/>
        <v>15516263</v>
      </c>
      <c r="I27" s="363">
        <v>19468936</v>
      </c>
      <c r="J27" s="363">
        <v>1044980593</v>
      </c>
      <c r="K27" s="364">
        <f t="shared" si="9"/>
        <v>1064449529</v>
      </c>
      <c r="L27" s="580">
        <v>18008263</v>
      </c>
      <c r="M27" s="363">
        <v>1016458953</v>
      </c>
      <c r="N27" s="381">
        <f t="shared" si="10"/>
        <v>3194531651</v>
      </c>
    </row>
    <row r="28" spans="1:31" s="255" customFormat="1" ht="20.149999999999999" hidden="1" customHeight="1" outlineLevel="1" x14ac:dyDescent="0.55000000000000004">
      <c r="A28" s="261"/>
      <c r="B28" s="545" t="s">
        <v>21</v>
      </c>
      <c r="C28" s="579">
        <v>16347</v>
      </c>
      <c r="D28" s="363">
        <v>31959</v>
      </c>
      <c r="E28" s="364">
        <f t="shared" si="7"/>
        <v>48306</v>
      </c>
      <c r="F28" s="363">
        <v>1362375</v>
      </c>
      <c r="G28" s="363">
        <v>5410883</v>
      </c>
      <c r="H28" s="364">
        <f t="shared" si="8"/>
        <v>6773258</v>
      </c>
      <c r="I28" s="363">
        <v>30562229</v>
      </c>
      <c r="J28" s="363">
        <v>284116981</v>
      </c>
      <c r="K28" s="364">
        <f t="shared" si="9"/>
        <v>314679210</v>
      </c>
      <c r="L28" s="580">
        <v>28198028</v>
      </c>
      <c r="M28" s="363">
        <v>279822324</v>
      </c>
      <c r="N28" s="381">
        <f t="shared" si="10"/>
        <v>951005553</v>
      </c>
    </row>
    <row r="29" spans="1:31" s="255" customFormat="1" ht="20.149999999999999" hidden="1" customHeight="1" outlineLevel="1" x14ac:dyDescent="0.55000000000000004">
      <c r="A29" s="261"/>
      <c r="B29" s="545" t="s">
        <v>22</v>
      </c>
      <c r="C29" s="579">
        <v>57141</v>
      </c>
      <c r="D29" s="363">
        <v>41448</v>
      </c>
      <c r="E29" s="364">
        <f t="shared" si="7"/>
        <v>98589</v>
      </c>
      <c r="F29" s="363">
        <v>6167534</v>
      </c>
      <c r="G29" s="363">
        <v>6405829</v>
      </c>
      <c r="H29" s="364">
        <f t="shared" si="8"/>
        <v>12573363</v>
      </c>
      <c r="I29" s="363">
        <v>163723905</v>
      </c>
      <c r="J29" s="363">
        <v>298727232</v>
      </c>
      <c r="K29" s="364">
        <f t="shared" si="9"/>
        <v>462451137</v>
      </c>
      <c r="L29" s="580">
        <v>153638466</v>
      </c>
      <c r="M29" s="363">
        <v>292656091</v>
      </c>
      <c r="N29" s="381">
        <f t="shared" si="10"/>
        <v>1396483594</v>
      </c>
    </row>
    <row r="30" spans="1:31" s="255" customFormat="1" ht="20.149999999999999" hidden="1" customHeight="1" outlineLevel="1" x14ac:dyDescent="0.55000000000000004">
      <c r="A30" s="261"/>
      <c r="B30" s="545" t="s">
        <v>23</v>
      </c>
      <c r="C30" s="579">
        <v>22873</v>
      </c>
      <c r="D30" s="363">
        <v>20866</v>
      </c>
      <c r="E30" s="364">
        <f t="shared" si="7"/>
        <v>43739</v>
      </c>
      <c r="F30" s="363">
        <v>1969961</v>
      </c>
      <c r="G30" s="363">
        <v>3142603</v>
      </c>
      <c r="H30" s="364">
        <f t="shared" si="8"/>
        <v>5112564</v>
      </c>
      <c r="I30" s="363">
        <v>43691191</v>
      </c>
      <c r="J30" s="363">
        <v>159911768</v>
      </c>
      <c r="K30" s="364">
        <f t="shared" si="9"/>
        <v>203602959</v>
      </c>
      <c r="L30" s="580">
        <v>41627131</v>
      </c>
      <c r="M30" s="363">
        <v>157197952</v>
      </c>
      <c r="N30" s="381">
        <f t="shared" si="10"/>
        <v>616320734</v>
      </c>
    </row>
    <row r="31" spans="1:31" s="255" customFormat="1" ht="20.149999999999999" hidden="1" customHeight="1" outlineLevel="1" x14ac:dyDescent="0.55000000000000004">
      <c r="A31" s="261"/>
      <c r="B31" s="545" t="s">
        <v>24</v>
      </c>
      <c r="C31" s="579">
        <v>25615</v>
      </c>
      <c r="D31" s="363">
        <v>38508</v>
      </c>
      <c r="E31" s="364">
        <f t="shared" si="7"/>
        <v>64123</v>
      </c>
      <c r="F31" s="363">
        <v>2607187</v>
      </c>
      <c r="G31" s="363">
        <v>5237988</v>
      </c>
      <c r="H31" s="364">
        <f t="shared" si="8"/>
        <v>7845175</v>
      </c>
      <c r="I31" s="363">
        <v>69052115</v>
      </c>
      <c r="J31" s="363">
        <v>264449726</v>
      </c>
      <c r="K31" s="364">
        <f t="shared" si="9"/>
        <v>333501841</v>
      </c>
      <c r="L31" s="580">
        <v>64144403</v>
      </c>
      <c r="M31" s="363">
        <v>255992379</v>
      </c>
      <c r="N31" s="381">
        <f t="shared" si="10"/>
        <v>1002933445</v>
      </c>
    </row>
    <row r="32" spans="1:31" s="255" customFormat="1" ht="20.149999999999999" hidden="1" customHeight="1" outlineLevel="1" x14ac:dyDescent="0.55000000000000004">
      <c r="A32" s="261"/>
      <c r="B32" s="545" t="s">
        <v>25</v>
      </c>
      <c r="C32" s="579">
        <v>42475</v>
      </c>
      <c r="D32" s="363">
        <v>45540</v>
      </c>
      <c r="E32" s="364">
        <f t="shared" si="7"/>
        <v>88015</v>
      </c>
      <c r="F32" s="363">
        <v>4190303</v>
      </c>
      <c r="G32" s="363">
        <v>5839791</v>
      </c>
      <c r="H32" s="364">
        <f t="shared" si="8"/>
        <v>10030094</v>
      </c>
      <c r="I32" s="363">
        <v>125661323</v>
      </c>
      <c r="J32" s="363">
        <v>294758726</v>
      </c>
      <c r="K32" s="364">
        <f t="shared" si="9"/>
        <v>420420049</v>
      </c>
      <c r="L32" s="580">
        <v>117794049</v>
      </c>
      <c r="M32" s="363">
        <v>289375348</v>
      </c>
      <c r="N32" s="381">
        <f t="shared" si="10"/>
        <v>1268203238</v>
      </c>
    </row>
    <row r="33" spans="1:31" s="255" customFormat="1" ht="20.149999999999999" hidden="1" customHeight="1" outlineLevel="1" x14ac:dyDescent="0.55000000000000004">
      <c r="A33" s="261"/>
      <c r="B33" s="545" t="s">
        <v>26</v>
      </c>
      <c r="C33" s="579">
        <v>51745</v>
      </c>
      <c r="D33" s="363">
        <v>51078</v>
      </c>
      <c r="E33" s="364">
        <f t="shared" si="7"/>
        <v>102823</v>
      </c>
      <c r="F33" s="363">
        <v>5663768</v>
      </c>
      <c r="G33" s="363">
        <v>10438785</v>
      </c>
      <c r="H33" s="364">
        <f t="shared" si="8"/>
        <v>16102553</v>
      </c>
      <c r="I33" s="363">
        <v>138862534</v>
      </c>
      <c r="J33" s="363">
        <v>520104271</v>
      </c>
      <c r="K33" s="364">
        <f t="shared" si="9"/>
        <v>658966805</v>
      </c>
      <c r="L33" s="580">
        <v>132069979</v>
      </c>
      <c r="M33" s="363">
        <v>490682257</v>
      </c>
      <c r="N33" s="381">
        <f t="shared" si="10"/>
        <v>1973044853</v>
      </c>
    </row>
    <row r="34" spans="1:31" s="255" customFormat="1" ht="20.149999999999999" customHeight="1" collapsed="1" x14ac:dyDescent="0.55000000000000004">
      <c r="A34" s="21"/>
      <c r="B34" s="531" t="s">
        <v>1078</v>
      </c>
      <c r="C34" s="387">
        <v>263299</v>
      </c>
      <c r="D34" s="366">
        <v>386243</v>
      </c>
      <c r="E34" s="532">
        <f t="shared" ref="E34:E79" si="11">SUM(C34:D34)</f>
        <v>649542</v>
      </c>
      <c r="F34" s="387">
        <v>26531824</v>
      </c>
      <c r="G34" s="366">
        <v>67271152</v>
      </c>
      <c r="H34" s="532">
        <f t="shared" ref="H34:H79" si="12">SUM(F34:G34)</f>
        <v>93802976</v>
      </c>
      <c r="I34" s="387">
        <v>685431456</v>
      </c>
      <c r="J34" s="366">
        <v>3731326214</v>
      </c>
      <c r="K34" s="532">
        <f t="shared" ref="K34:K79" si="13">SUM(I34:J34)</f>
        <v>4416757670</v>
      </c>
      <c r="L34" s="387">
        <v>640890084</v>
      </c>
      <c r="M34" s="366">
        <v>3625803625</v>
      </c>
      <c r="N34" s="532">
        <f>SUM(L34:M34)</f>
        <v>4266693709</v>
      </c>
      <c r="O34" s="40"/>
      <c r="P34" s="40"/>
      <c r="Q34" s="40"/>
      <c r="R34" s="40"/>
      <c r="S34" s="40"/>
      <c r="T34" s="40"/>
      <c r="U34" s="40"/>
      <c r="V34" s="40"/>
      <c r="W34" s="40"/>
      <c r="X34" s="40"/>
      <c r="Y34" s="40"/>
      <c r="Z34" s="40"/>
      <c r="AA34" s="40"/>
      <c r="AB34" s="40"/>
      <c r="AC34" s="40"/>
      <c r="AD34" s="40"/>
      <c r="AE34" s="40"/>
    </row>
    <row r="35" spans="1:31" ht="20.149999999999999" customHeight="1" x14ac:dyDescent="0.3">
      <c r="A35" s="2"/>
      <c r="B35" s="548" t="s">
        <v>1101</v>
      </c>
      <c r="C35" s="543"/>
      <c r="D35" s="543"/>
      <c r="E35" s="543"/>
      <c r="F35" s="543"/>
      <c r="G35" s="543"/>
      <c r="H35" s="543"/>
      <c r="I35" s="543"/>
      <c r="J35" s="543"/>
      <c r="K35" s="543"/>
      <c r="L35" s="543"/>
      <c r="M35" s="543"/>
      <c r="N35" s="543"/>
    </row>
    <row r="36" spans="1:31" s="255" customFormat="1" ht="20.149999999999999" hidden="1" customHeight="1" outlineLevel="1" x14ac:dyDescent="0.55000000000000004">
      <c r="A36" s="34"/>
      <c r="B36" s="544" t="s">
        <v>18</v>
      </c>
      <c r="C36" s="387">
        <v>20924</v>
      </c>
      <c r="D36" s="366">
        <v>61887</v>
      </c>
      <c r="E36" s="532">
        <f t="shared" ref="E36:E44" si="14">SUM(C36:D36)</f>
        <v>82811</v>
      </c>
      <c r="F36" s="387">
        <v>2186244</v>
      </c>
      <c r="G36" s="366">
        <v>10775231</v>
      </c>
      <c r="H36" s="532">
        <f t="shared" ref="H36:H44" si="15">SUM(F36:G36)</f>
        <v>12961475</v>
      </c>
      <c r="I36" s="387">
        <v>67290633</v>
      </c>
      <c r="J36" s="366">
        <v>596492036</v>
      </c>
      <c r="K36" s="532">
        <f t="shared" ref="K36:K44" si="16">SUM(I36:J36)</f>
        <v>663782669</v>
      </c>
      <c r="L36" s="387">
        <v>61894992</v>
      </c>
      <c r="M36" s="366">
        <v>584670035</v>
      </c>
      <c r="N36" s="532">
        <f t="shared" ref="N36:N44" si="17">SUM(L36:M36)</f>
        <v>646565027</v>
      </c>
    </row>
    <row r="37" spans="1:31" s="255" customFormat="1" ht="20.149999999999999" hidden="1" customHeight="1" outlineLevel="1" x14ac:dyDescent="0.55000000000000004">
      <c r="A37" s="34"/>
      <c r="B37" s="545" t="s">
        <v>19</v>
      </c>
      <c r="C37" s="387">
        <v>17015</v>
      </c>
      <c r="D37" s="366">
        <v>35039</v>
      </c>
      <c r="E37" s="532">
        <f t="shared" si="14"/>
        <v>52054</v>
      </c>
      <c r="F37" s="387">
        <v>1619944</v>
      </c>
      <c r="G37" s="366">
        <v>5657839</v>
      </c>
      <c r="H37" s="532">
        <f t="shared" si="15"/>
        <v>7277783</v>
      </c>
      <c r="I37" s="387">
        <v>45096689</v>
      </c>
      <c r="J37" s="366">
        <v>319118879</v>
      </c>
      <c r="K37" s="532">
        <f t="shared" si="16"/>
        <v>364215568</v>
      </c>
      <c r="L37" s="387">
        <v>41353624</v>
      </c>
      <c r="M37" s="366">
        <v>312264235</v>
      </c>
      <c r="N37" s="532">
        <f t="shared" si="17"/>
        <v>353617859</v>
      </c>
    </row>
    <row r="38" spans="1:31" s="255" customFormat="1" ht="20.149999999999999" hidden="1" customHeight="1" outlineLevel="1" x14ac:dyDescent="0.55000000000000004">
      <c r="A38" s="261"/>
      <c r="B38" s="545" t="s">
        <v>20</v>
      </c>
      <c r="C38" s="387">
        <v>9520</v>
      </c>
      <c r="D38" s="366">
        <v>61216</v>
      </c>
      <c r="E38" s="532">
        <f t="shared" si="14"/>
        <v>70736</v>
      </c>
      <c r="F38" s="387">
        <v>844535</v>
      </c>
      <c r="G38" s="366">
        <v>14651658</v>
      </c>
      <c r="H38" s="532">
        <f t="shared" si="15"/>
        <v>15496193</v>
      </c>
      <c r="I38" s="387">
        <v>18971223</v>
      </c>
      <c r="J38" s="366">
        <v>1034372749</v>
      </c>
      <c r="K38" s="532">
        <f t="shared" si="16"/>
        <v>1053343972</v>
      </c>
      <c r="L38" s="387">
        <v>17494407</v>
      </c>
      <c r="M38" s="366">
        <v>1001223653</v>
      </c>
      <c r="N38" s="532">
        <f t="shared" si="17"/>
        <v>1018718060</v>
      </c>
    </row>
    <row r="39" spans="1:31" s="255" customFormat="1" ht="20.149999999999999" hidden="1" customHeight="1" outlineLevel="1" x14ac:dyDescent="0.55000000000000004">
      <c r="A39" s="261"/>
      <c r="B39" s="545" t="s">
        <v>21</v>
      </c>
      <c r="C39" s="387">
        <v>16413</v>
      </c>
      <c r="D39" s="366">
        <v>31155</v>
      </c>
      <c r="E39" s="532">
        <f t="shared" si="14"/>
        <v>47568</v>
      </c>
      <c r="F39" s="387">
        <v>1363598</v>
      </c>
      <c r="G39" s="366">
        <v>5406887</v>
      </c>
      <c r="H39" s="532">
        <f t="shared" si="15"/>
        <v>6770485</v>
      </c>
      <c r="I39" s="387">
        <v>29399809</v>
      </c>
      <c r="J39" s="366">
        <v>278700156</v>
      </c>
      <c r="K39" s="532">
        <f t="shared" si="16"/>
        <v>308099965</v>
      </c>
      <c r="L39" s="387">
        <v>27249410</v>
      </c>
      <c r="M39" s="366">
        <v>275094809</v>
      </c>
      <c r="N39" s="532">
        <f t="shared" si="17"/>
        <v>302344219</v>
      </c>
    </row>
    <row r="40" spans="1:31" s="255" customFormat="1" ht="20.149999999999999" hidden="1" customHeight="1" outlineLevel="1" x14ac:dyDescent="0.55000000000000004">
      <c r="A40" s="261"/>
      <c r="B40" s="545" t="s">
        <v>22</v>
      </c>
      <c r="C40" s="387">
        <v>56900</v>
      </c>
      <c r="D40" s="366">
        <v>41340</v>
      </c>
      <c r="E40" s="532">
        <f t="shared" si="14"/>
        <v>98240</v>
      </c>
      <c r="F40" s="387">
        <v>6131458</v>
      </c>
      <c r="G40" s="366">
        <v>6381324</v>
      </c>
      <c r="H40" s="532">
        <f t="shared" si="15"/>
        <v>12512782</v>
      </c>
      <c r="I40" s="387">
        <v>158559637</v>
      </c>
      <c r="J40" s="366">
        <v>294676273</v>
      </c>
      <c r="K40" s="532">
        <f t="shared" si="16"/>
        <v>453235910</v>
      </c>
      <c r="L40" s="387">
        <v>148228008</v>
      </c>
      <c r="M40" s="366">
        <v>290452301</v>
      </c>
      <c r="N40" s="532">
        <f t="shared" si="17"/>
        <v>438680309</v>
      </c>
    </row>
    <row r="41" spans="1:31" s="255" customFormat="1" ht="20.149999999999999" hidden="1" customHeight="1" outlineLevel="1" x14ac:dyDescent="0.55000000000000004">
      <c r="A41" s="261"/>
      <c r="B41" s="545" t="s">
        <v>23</v>
      </c>
      <c r="C41" s="387">
        <v>22917</v>
      </c>
      <c r="D41" s="366">
        <v>20916</v>
      </c>
      <c r="E41" s="532">
        <f t="shared" si="14"/>
        <v>43833</v>
      </c>
      <c r="F41" s="387">
        <v>1969512</v>
      </c>
      <c r="G41" s="366">
        <v>3150117</v>
      </c>
      <c r="H41" s="532">
        <f t="shared" si="15"/>
        <v>5119629</v>
      </c>
      <c r="I41" s="387">
        <v>42583962</v>
      </c>
      <c r="J41" s="366">
        <v>158743329</v>
      </c>
      <c r="K41" s="532">
        <f t="shared" si="16"/>
        <v>201327291</v>
      </c>
      <c r="L41" s="387">
        <v>40588317</v>
      </c>
      <c r="M41" s="366">
        <v>155044361</v>
      </c>
      <c r="N41" s="532">
        <f t="shared" si="17"/>
        <v>195632678</v>
      </c>
    </row>
    <row r="42" spans="1:31" s="255" customFormat="1" ht="20.149999999999999" hidden="1" customHeight="1" outlineLevel="1" x14ac:dyDescent="0.55000000000000004">
      <c r="A42" s="261"/>
      <c r="B42" s="545" t="s">
        <v>24</v>
      </c>
      <c r="C42" s="387">
        <v>25582</v>
      </c>
      <c r="D42" s="366">
        <v>38513</v>
      </c>
      <c r="E42" s="532">
        <f t="shared" si="14"/>
        <v>64095</v>
      </c>
      <c r="F42" s="387">
        <v>2598059</v>
      </c>
      <c r="G42" s="366">
        <v>5160162</v>
      </c>
      <c r="H42" s="532">
        <f t="shared" si="15"/>
        <v>7758221</v>
      </c>
      <c r="I42" s="387">
        <v>66511441</v>
      </c>
      <c r="J42" s="366">
        <v>257336004</v>
      </c>
      <c r="K42" s="532">
        <f t="shared" si="16"/>
        <v>323847445</v>
      </c>
      <c r="L42" s="387">
        <v>61661676</v>
      </c>
      <c r="M42" s="366">
        <v>246838663</v>
      </c>
      <c r="N42" s="532">
        <f t="shared" si="17"/>
        <v>308500339</v>
      </c>
    </row>
    <row r="43" spans="1:31" s="255" customFormat="1" ht="20.149999999999999" hidden="1" customHeight="1" outlineLevel="1" x14ac:dyDescent="0.55000000000000004">
      <c r="A43" s="261"/>
      <c r="B43" s="545" t="s">
        <v>25</v>
      </c>
      <c r="C43" s="387">
        <v>42403</v>
      </c>
      <c r="D43" s="366">
        <v>45566</v>
      </c>
      <c r="E43" s="532">
        <f t="shared" si="14"/>
        <v>87969</v>
      </c>
      <c r="F43" s="387">
        <v>4174545</v>
      </c>
      <c r="G43" s="366">
        <v>5837608</v>
      </c>
      <c r="H43" s="532">
        <f t="shared" si="15"/>
        <v>10012153</v>
      </c>
      <c r="I43" s="387">
        <v>121890572</v>
      </c>
      <c r="J43" s="366">
        <v>292309717</v>
      </c>
      <c r="K43" s="532">
        <f t="shared" si="16"/>
        <v>414200289</v>
      </c>
      <c r="L43" s="387">
        <v>113751725</v>
      </c>
      <c r="M43" s="366">
        <v>286486294</v>
      </c>
      <c r="N43" s="532">
        <f t="shared" si="17"/>
        <v>400238019</v>
      </c>
    </row>
    <row r="44" spans="1:31" s="255" customFormat="1" ht="20.149999999999999" hidden="1" customHeight="1" outlineLevel="1" x14ac:dyDescent="0.55000000000000004">
      <c r="A44" s="261"/>
      <c r="B44" s="545" t="s">
        <v>26</v>
      </c>
      <c r="C44" s="387">
        <v>51625</v>
      </c>
      <c r="D44" s="366">
        <v>50611</v>
      </c>
      <c r="E44" s="532">
        <f t="shared" si="14"/>
        <v>102236</v>
      </c>
      <c r="F44" s="387">
        <v>5643928</v>
      </c>
      <c r="G44" s="366">
        <v>10250326</v>
      </c>
      <c r="H44" s="532">
        <f t="shared" si="15"/>
        <v>15894254</v>
      </c>
      <c r="I44" s="387">
        <v>135127490</v>
      </c>
      <c r="J44" s="366">
        <v>499577072</v>
      </c>
      <c r="K44" s="532">
        <f t="shared" si="16"/>
        <v>634704562</v>
      </c>
      <c r="L44" s="387">
        <v>128667926</v>
      </c>
      <c r="M44" s="366">
        <v>473729274</v>
      </c>
      <c r="N44" s="532">
        <f t="shared" si="17"/>
        <v>602397200</v>
      </c>
    </row>
    <row r="45" spans="1:31" s="255" customFormat="1" ht="20.149999999999999" customHeight="1" collapsed="1" x14ac:dyDescent="0.55000000000000004">
      <c r="A45" s="21"/>
      <c r="B45" s="531" t="s">
        <v>1079</v>
      </c>
      <c r="C45" s="387">
        <v>262589</v>
      </c>
      <c r="D45" s="366">
        <v>384205</v>
      </c>
      <c r="E45" s="532">
        <f t="shared" si="11"/>
        <v>646794</v>
      </c>
      <c r="F45" s="387">
        <v>26400290</v>
      </c>
      <c r="G45" s="366">
        <v>67003547</v>
      </c>
      <c r="H45" s="532">
        <f t="shared" si="12"/>
        <v>93403837</v>
      </c>
      <c r="I45" s="387">
        <v>661750169</v>
      </c>
      <c r="J45" s="366">
        <v>3675627671</v>
      </c>
      <c r="K45" s="532">
        <f t="shared" si="13"/>
        <v>4337377840</v>
      </c>
      <c r="L45" s="387">
        <v>614267048</v>
      </c>
      <c r="M45" s="366">
        <v>3391216435</v>
      </c>
      <c r="N45" s="532">
        <f t="shared" ref="N45:N79" si="18">SUM(L45:M45)</f>
        <v>4005483483</v>
      </c>
      <c r="O45" s="40"/>
      <c r="P45" s="40"/>
      <c r="Q45" s="40"/>
      <c r="R45" s="40"/>
      <c r="S45" s="40"/>
      <c r="T45" s="40"/>
      <c r="U45" s="40"/>
      <c r="V45" s="40"/>
      <c r="W45" s="40"/>
      <c r="X45" s="40"/>
      <c r="Y45" s="40"/>
      <c r="Z45" s="40"/>
      <c r="AA45" s="40"/>
      <c r="AB45" s="40"/>
      <c r="AC45" s="40"/>
      <c r="AD45" s="40"/>
      <c r="AE45" s="40"/>
    </row>
    <row r="46" spans="1:31" ht="20.149999999999999" customHeight="1" x14ac:dyDescent="0.3">
      <c r="A46" s="2"/>
      <c r="B46" s="548" t="s">
        <v>1101</v>
      </c>
      <c r="C46" s="543"/>
      <c r="D46" s="543"/>
      <c r="E46" s="543"/>
      <c r="F46" s="543"/>
      <c r="G46" s="543"/>
      <c r="H46" s="543"/>
      <c r="I46" s="543"/>
      <c r="J46" s="543"/>
      <c r="K46" s="543"/>
      <c r="L46" s="543"/>
      <c r="M46" s="543"/>
      <c r="N46" s="543"/>
    </row>
    <row r="47" spans="1:31" s="255" customFormat="1" ht="20.149999999999999" hidden="1" customHeight="1" outlineLevel="1" x14ac:dyDescent="0.55000000000000004">
      <c r="A47" s="34"/>
      <c r="B47" s="544" t="s">
        <v>18</v>
      </c>
      <c r="C47" s="387">
        <v>20815</v>
      </c>
      <c r="D47" s="366">
        <v>61910</v>
      </c>
      <c r="E47" s="532">
        <f t="shared" ref="E47:E55" si="19">SUM(C47:D47)</f>
        <v>82725</v>
      </c>
      <c r="F47" s="387">
        <v>2167813</v>
      </c>
      <c r="G47" s="366">
        <v>10793837</v>
      </c>
      <c r="H47" s="532">
        <f t="shared" ref="H47:H55" si="20">SUM(F47:G47)</f>
        <v>12961650</v>
      </c>
      <c r="I47" s="387">
        <v>64419103</v>
      </c>
      <c r="J47" s="366">
        <v>592773211</v>
      </c>
      <c r="K47" s="532">
        <f t="shared" ref="K47:K55" si="21">SUM(I47:J47)</f>
        <v>657192314</v>
      </c>
      <c r="L47" s="387">
        <v>58994447</v>
      </c>
      <c r="M47" s="366">
        <v>561598712</v>
      </c>
      <c r="N47" s="532">
        <f t="shared" ref="N47:N55" si="22">SUM(L47:M47)</f>
        <v>620593159</v>
      </c>
    </row>
    <row r="48" spans="1:31" s="255" customFormat="1" ht="20.149999999999999" hidden="1" customHeight="1" outlineLevel="1" x14ac:dyDescent="0.55000000000000004">
      <c r="A48" s="34"/>
      <c r="B48" s="545" t="s">
        <v>19</v>
      </c>
      <c r="C48" s="387">
        <v>16968</v>
      </c>
      <c r="D48" s="366">
        <v>34872</v>
      </c>
      <c r="E48" s="532">
        <f t="shared" si="19"/>
        <v>51840</v>
      </c>
      <c r="F48" s="387">
        <v>1611409</v>
      </c>
      <c r="G48" s="366">
        <v>5628689</v>
      </c>
      <c r="H48" s="532">
        <f t="shared" si="20"/>
        <v>7240098</v>
      </c>
      <c r="I48" s="387">
        <v>43180217</v>
      </c>
      <c r="J48" s="366">
        <v>314314623</v>
      </c>
      <c r="K48" s="532">
        <f t="shared" si="21"/>
        <v>357494840</v>
      </c>
      <c r="L48" s="387">
        <v>39413010</v>
      </c>
      <c r="M48" s="366">
        <v>298566666</v>
      </c>
      <c r="N48" s="532">
        <f t="shared" si="22"/>
        <v>337979676</v>
      </c>
    </row>
    <row r="49" spans="1:31" s="255" customFormat="1" ht="20.149999999999999" hidden="1" customHeight="1" outlineLevel="1" x14ac:dyDescent="0.55000000000000004">
      <c r="A49" s="261"/>
      <c r="B49" s="545" t="s">
        <v>20</v>
      </c>
      <c r="C49" s="387">
        <v>9552</v>
      </c>
      <c r="D49" s="366">
        <v>60790</v>
      </c>
      <c r="E49" s="532">
        <f t="shared" si="19"/>
        <v>70342</v>
      </c>
      <c r="F49" s="387">
        <v>845035</v>
      </c>
      <c r="G49" s="366">
        <v>14544807</v>
      </c>
      <c r="H49" s="532">
        <f t="shared" si="20"/>
        <v>15389842</v>
      </c>
      <c r="I49" s="387">
        <v>18346449</v>
      </c>
      <c r="J49" s="366">
        <v>1011353676</v>
      </c>
      <c r="K49" s="532">
        <f t="shared" si="21"/>
        <v>1029700125</v>
      </c>
      <c r="L49" s="387">
        <v>16506401</v>
      </c>
      <c r="M49" s="366">
        <v>898642905</v>
      </c>
      <c r="N49" s="532">
        <f t="shared" si="22"/>
        <v>915149306</v>
      </c>
    </row>
    <row r="50" spans="1:31" s="255" customFormat="1" ht="20.149999999999999" hidden="1" customHeight="1" outlineLevel="1" x14ac:dyDescent="0.55000000000000004">
      <c r="A50" s="261"/>
      <c r="B50" s="545" t="s">
        <v>21</v>
      </c>
      <c r="C50" s="387">
        <v>16521</v>
      </c>
      <c r="D50" s="366">
        <v>30158</v>
      </c>
      <c r="E50" s="532">
        <f t="shared" si="19"/>
        <v>46679</v>
      </c>
      <c r="F50" s="387">
        <v>1365683</v>
      </c>
      <c r="G50" s="366">
        <v>5368251</v>
      </c>
      <c r="H50" s="532">
        <f t="shared" si="20"/>
        <v>6733934</v>
      </c>
      <c r="I50" s="387">
        <v>28224500</v>
      </c>
      <c r="J50" s="366">
        <v>271284884</v>
      </c>
      <c r="K50" s="532">
        <f t="shared" si="21"/>
        <v>299509384</v>
      </c>
      <c r="L50" s="387">
        <v>25915577</v>
      </c>
      <c r="M50" s="366">
        <v>255074977</v>
      </c>
      <c r="N50" s="532">
        <f t="shared" si="22"/>
        <v>280990554</v>
      </c>
    </row>
    <row r="51" spans="1:31" s="255" customFormat="1" ht="20.149999999999999" hidden="1" customHeight="1" outlineLevel="1" x14ac:dyDescent="0.55000000000000004">
      <c r="A51" s="261"/>
      <c r="B51" s="545" t="s">
        <v>22</v>
      </c>
      <c r="C51" s="387">
        <v>56519</v>
      </c>
      <c r="D51" s="366">
        <v>41341</v>
      </c>
      <c r="E51" s="532">
        <f t="shared" si="19"/>
        <v>97860</v>
      </c>
      <c r="F51" s="387">
        <v>6082020</v>
      </c>
      <c r="G51" s="366">
        <v>6376741</v>
      </c>
      <c r="H51" s="532">
        <f t="shared" si="20"/>
        <v>12458761</v>
      </c>
      <c r="I51" s="387">
        <v>152479432</v>
      </c>
      <c r="J51" s="366">
        <v>294086382</v>
      </c>
      <c r="K51" s="532">
        <f t="shared" si="21"/>
        <v>446565814</v>
      </c>
      <c r="L51" s="387">
        <v>141372708</v>
      </c>
      <c r="M51" s="366">
        <v>269620005</v>
      </c>
      <c r="N51" s="532">
        <f t="shared" si="22"/>
        <v>410992713</v>
      </c>
    </row>
    <row r="52" spans="1:31" s="255" customFormat="1" ht="20.149999999999999" hidden="1" customHeight="1" outlineLevel="1" x14ac:dyDescent="0.55000000000000004">
      <c r="A52" s="261"/>
      <c r="B52" s="545" t="s">
        <v>23</v>
      </c>
      <c r="C52" s="387">
        <v>22963</v>
      </c>
      <c r="D52" s="366">
        <v>20652</v>
      </c>
      <c r="E52" s="532">
        <f t="shared" si="19"/>
        <v>43615</v>
      </c>
      <c r="F52" s="387">
        <v>1969513</v>
      </c>
      <c r="G52" s="366">
        <v>3139749</v>
      </c>
      <c r="H52" s="532">
        <f t="shared" si="20"/>
        <v>5109262</v>
      </c>
      <c r="I52" s="387">
        <v>41604108</v>
      </c>
      <c r="J52" s="366">
        <v>155974832</v>
      </c>
      <c r="K52" s="532">
        <f t="shared" si="21"/>
        <v>197578940</v>
      </c>
      <c r="L52" s="387">
        <v>39123718</v>
      </c>
      <c r="M52" s="366">
        <v>143936388</v>
      </c>
      <c r="N52" s="532">
        <f t="shared" si="22"/>
        <v>183060106</v>
      </c>
    </row>
    <row r="53" spans="1:31" s="255" customFormat="1" ht="20.149999999999999" hidden="1" customHeight="1" outlineLevel="1" x14ac:dyDescent="0.55000000000000004">
      <c r="A53" s="261"/>
      <c r="B53" s="545" t="s">
        <v>24</v>
      </c>
      <c r="C53" s="387">
        <v>25504</v>
      </c>
      <c r="D53" s="366">
        <v>38308</v>
      </c>
      <c r="E53" s="532">
        <f t="shared" si="19"/>
        <v>63812</v>
      </c>
      <c r="F53" s="387">
        <v>2584879</v>
      </c>
      <c r="G53" s="366">
        <v>5136774</v>
      </c>
      <c r="H53" s="532">
        <f t="shared" si="20"/>
        <v>7721653</v>
      </c>
      <c r="I53" s="387">
        <v>64094798</v>
      </c>
      <c r="J53" s="366">
        <v>254499535</v>
      </c>
      <c r="K53" s="532">
        <f t="shared" si="21"/>
        <v>318594333</v>
      </c>
      <c r="L53" s="387">
        <v>58956240</v>
      </c>
      <c r="M53" s="366">
        <v>237746269</v>
      </c>
      <c r="N53" s="532">
        <f t="shared" si="22"/>
        <v>296702509</v>
      </c>
    </row>
    <row r="54" spans="1:31" s="255" customFormat="1" ht="20.149999999999999" hidden="1" customHeight="1" outlineLevel="1" x14ac:dyDescent="0.55000000000000004">
      <c r="A54" s="261"/>
      <c r="B54" s="545" t="s">
        <v>25</v>
      </c>
      <c r="C54" s="387">
        <v>42301</v>
      </c>
      <c r="D54" s="366">
        <v>45584</v>
      </c>
      <c r="E54" s="532">
        <f t="shared" si="19"/>
        <v>87885</v>
      </c>
      <c r="F54" s="387">
        <v>4155604</v>
      </c>
      <c r="G54" s="366">
        <v>5852050</v>
      </c>
      <c r="H54" s="532">
        <f t="shared" si="20"/>
        <v>10007654</v>
      </c>
      <c r="I54" s="387">
        <v>118034577</v>
      </c>
      <c r="J54" s="366">
        <v>291782169</v>
      </c>
      <c r="K54" s="532">
        <f t="shared" si="21"/>
        <v>409816746</v>
      </c>
      <c r="L54" s="387">
        <v>109157711</v>
      </c>
      <c r="M54" s="366">
        <v>275486866</v>
      </c>
      <c r="N54" s="532">
        <f t="shared" si="22"/>
        <v>384644577</v>
      </c>
    </row>
    <row r="55" spans="1:31" s="255" customFormat="1" ht="20.149999999999999" hidden="1" customHeight="1" outlineLevel="1" x14ac:dyDescent="0.55000000000000004">
      <c r="A55" s="261"/>
      <c r="B55" s="545" t="s">
        <v>26</v>
      </c>
      <c r="C55" s="387">
        <v>51446</v>
      </c>
      <c r="D55" s="366">
        <v>50590</v>
      </c>
      <c r="E55" s="532">
        <f t="shared" si="19"/>
        <v>102036</v>
      </c>
      <c r="F55" s="387">
        <v>5618334</v>
      </c>
      <c r="G55" s="366">
        <v>10162649</v>
      </c>
      <c r="H55" s="532">
        <f t="shared" si="20"/>
        <v>15780983</v>
      </c>
      <c r="I55" s="387">
        <v>131366985</v>
      </c>
      <c r="J55" s="366">
        <v>489558359</v>
      </c>
      <c r="K55" s="532">
        <f t="shared" si="21"/>
        <v>620925344</v>
      </c>
      <c r="L55" s="387">
        <v>124827236</v>
      </c>
      <c r="M55" s="366">
        <v>450543645</v>
      </c>
      <c r="N55" s="532">
        <f t="shared" si="22"/>
        <v>575370881</v>
      </c>
    </row>
    <row r="56" spans="1:31" s="255" customFormat="1" ht="20.149999999999999" customHeight="1" collapsed="1" x14ac:dyDescent="0.55000000000000004">
      <c r="A56" s="21"/>
      <c r="B56" s="354" t="s">
        <v>1</v>
      </c>
      <c r="C56" s="355">
        <v>261903</v>
      </c>
      <c r="D56" s="356">
        <v>382328</v>
      </c>
      <c r="E56" s="357">
        <f t="shared" si="11"/>
        <v>644231</v>
      </c>
      <c r="F56" s="355">
        <v>26269601</v>
      </c>
      <c r="G56" s="356">
        <v>66772411</v>
      </c>
      <c r="H56" s="357">
        <f t="shared" si="12"/>
        <v>93042012</v>
      </c>
      <c r="I56" s="355">
        <v>690215002</v>
      </c>
      <c r="J56" s="356">
        <v>3684384436</v>
      </c>
      <c r="K56" s="357">
        <f t="shared" si="13"/>
        <v>4374599438</v>
      </c>
      <c r="L56" s="355">
        <v>644161611</v>
      </c>
      <c r="M56" s="356">
        <v>3554055090</v>
      </c>
      <c r="N56" s="357">
        <f t="shared" si="18"/>
        <v>4198216701</v>
      </c>
      <c r="O56" s="40"/>
      <c r="P56" s="40"/>
      <c r="Q56" s="40"/>
      <c r="R56" s="40"/>
      <c r="S56" s="40"/>
      <c r="T56" s="40"/>
      <c r="U56" s="40"/>
      <c r="V56" s="40"/>
      <c r="W56" s="40"/>
      <c r="X56" s="40"/>
      <c r="Y56" s="40"/>
      <c r="Z56" s="40"/>
      <c r="AA56" s="40"/>
      <c r="AB56" s="40"/>
      <c r="AC56" s="40"/>
      <c r="AD56" s="40"/>
      <c r="AE56" s="40"/>
    </row>
    <row r="57" spans="1:31" ht="20.149999999999999" customHeight="1" x14ac:dyDescent="0.3">
      <c r="A57" s="2"/>
      <c r="B57" s="548" t="s">
        <v>1101</v>
      </c>
      <c r="C57" s="543"/>
      <c r="D57" s="543"/>
      <c r="E57" s="543"/>
      <c r="F57" s="543"/>
      <c r="G57" s="543"/>
      <c r="H57" s="543"/>
      <c r="I57" s="543"/>
      <c r="J57" s="543"/>
      <c r="K57" s="543"/>
      <c r="L57" s="543"/>
      <c r="M57" s="543"/>
      <c r="N57" s="543"/>
    </row>
    <row r="58" spans="1:31" s="255" customFormat="1" ht="20.149999999999999" hidden="1" customHeight="1" outlineLevel="1" x14ac:dyDescent="0.55000000000000004">
      <c r="A58" s="34"/>
      <c r="B58" s="544" t="s">
        <v>18</v>
      </c>
      <c r="C58" s="355">
        <v>20689</v>
      </c>
      <c r="D58" s="356">
        <v>61797</v>
      </c>
      <c r="E58" s="357">
        <f t="shared" ref="E58:E66" si="23">SUM(C58:D58)</f>
        <v>82486</v>
      </c>
      <c r="F58" s="355">
        <v>2148097</v>
      </c>
      <c r="G58" s="356">
        <v>10774796</v>
      </c>
      <c r="H58" s="357">
        <f t="shared" ref="H58:H66" si="24">SUM(F58:G58)</f>
        <v>12922893</v>
      </c>
      <c r="I58" s="355">
        <v>67161708</v>
      </c>
      <c r="J58" s="356">
        <v>596246916</v>
      </c>
      <c r="K58" s="357">
        <f t="shared" ref="K58:K66" si="25">SUM(I58:J58)</f>
        <v>663408624</v>
      </c>
      <c r="L58" s="355">
        <v>62046113</v>
      </c>
      <c r="M58" s="356">
        <v>581848470</v>
      </c>
      <c r="N58" s="357">
        <f t="shared" ref="N58:N66" si="26">SUM(L58:M58)</f>
        <v>643894583</v>
      </c>
    </row>
    <row r="59" spans="1:31" s="255" customFormat="1" ht="20.149999999999999" hidden="1" customHeight="1" outlineLevel="1" x14ac:dyDescent="0.55000000000000004">
      <c r="A59" s="34"/>
      <c r="B59" s="545" t="s">
        <v>19</v>
      </c>
      <c r="C59" s="355">
        <v>16929</v>
      </c>
      <c r="D59" s="356">
        <v>34823</v>
      </c>
      <c r="E59" s="357">
        <f t="shared" si="23"/>
        <v>51752</v>
      </c>
      <c r="F59" s="355">
        <v>1601481</v>
      </c>
      <c r="G59" s="356">
        <v>5623595</v>
      </c>
      <c r="H59" s="357">
        <f t="shared" si="24"/>
        <v>7225076</v>
      </c>
      <c r="I59" s="355">
        <v>44996199</v>
      </c>
      <c r="J59" s="356">
        <v>315267802</v>
      </c>
      <c r="K59" s="357">
        <f t="shared" si="25"/>
        <v>360264001</v>
      </c>
      <c r="L59" s="355">
        <v>41653916</v>
      </c>
      <c r="M59" s="356">
        <v>307673173</v>
      </c>
      <c r="N59" s="357">
        <f t="shared" si="26"/>
        <v>349327089</v>
      </c>
    </row>
    <row r="60" spans="1:31" s="255" customFormat="1" ht="20.149999999999999" hidden="1" customHeight="1" outlineLevel="1" x14ac:dyDescent="0.55000000000000004">
      <c r="A60" s="261"/>
      <c r="B60" s="545" t="s">
        <v>20</v>
      </c>
      <c r="C60" s="355">
        <v>9596</v>
      </c>
      <c r="D60" s="356">
        <v>59909</v>
      </c>
      <c r="E60" s="357">
        <f t="shared" si="23"/>
        <v>69505</v>
      </c>
      <c r="F60" s="355">
        <v>847471</v>
      </c>
      <c r="G60" s="356">
        <v>14460960</v>
      </c>
      <c r="H60" s="357">
        <f t="shared" si="24"/>
        <v>15308431</v>
      </c>
      <c r="I60" s="355">
        <v>19073957</v>
      </c>
      <c r="J60" s="356">
        <v>1013638683</v>
      </c>
      <c r="K60" s="357">
        <f t="shared" si="25"/>
        <v>1032712640</v>
      </c>
      <c r="L60" s="355">
        <v>17487342</v>
      </c>
      <c r="M60" s="356">
        <v>973084059</v>
      </c>
      <c r="N60" s="357">
        <f t="shared" si="26"/>
        <v>990571401</v>
      </c>
    </row>
    <row r="61" spans="1:31" s="255" customFormat="1" ht="20.149999999999999" hidden="1" customHeight="1" outlineLevel="1" x14ac:dyDescent="0.55000000000000004">
      <c r="A61" s="261"/>
      <c r="B61" s="545" t="s">
        <v>21</v>
      </c>
      <c r="C61" s="355">
        <v>16571</v>
      </c>
      <c r="D61" s="356">
        <v>29705</v>
      </c>
      <c r="E61" s="357">
        <f t="shared" si="23"/>
        <v>46276</v>
      </c>
      <c r="F61" s="355">
        <v>1366184</v>
      </c>
      <c r="G61" s="356">
        <v>5345002</v>
      </c>
      <c r="H61" s="357">
        <f t="shared" si="24"/>
        <v>6711186</v>
      </c>
      <c r="I61" s="355">
        <v>29653940</v>
      </c>
      <c r="J61" s="356">
        <v>270755813</v>
      </c>
      <c r="K61" s="357">
        <f t="shared" si="25"/>
        <v>300409753</v>
      </c>
      <c r="L61" s="355">
        <v>27425727</v>
      </c>
      <c r="M61" s="356">
        <v>266318985</v>
      </c>
      <c r="N61" s="357">
        <f t="shared" si="26"/>
        <v>293744712</v>
      </c>
    </row>
    <row r="62" spans="1:31" s="255" customFormat="1" ht="20.149999999999999" hidden="1" customHeight="1" outlineLevel="1" x14ac:dyDescent="0.55000000000000004">
      <c r="A62" s="261"/>
      <c r="B62" s="545" t="s">
        <v>22</v>
      </c>
      <c r="C62" s="355">
        <v>56182</v>
      </c>
      <c r="D62" s="356">
        <v>41372</v>
      </c>
      <c r="E62" s="357">
        <f t="shared" si="23"/>
        <v>97554</v>
      </c>
      <c r="F62" s="355">
        <v>6033917</v>
      </c>
      <c r="G62" s="356">
        <v>6381355</v>
      </c>
      <c r="H62" s="357">
        <f t="shared" si="24"/>
        <v>12415272</v>
      </c>
      <c r="I62" s="355">
        <v>157965729</v>
      </c>
      <c r="J62" s="356">
        <v>296421828</v>
      </c>
      <c r="K62" s="357">
        <f t="shared" si="25"/>
        <v>454387557</v>
      </c>
      <c r="L62" s="355">
        <v>148261583</v>
      </c>
      <c r="M62" s="356">
        <v>292200881</v>
      </c>
      <c r="N62" s="357">
        <f t="shared" si="26"/>
        <v>440462464</v>
      </c>
    </row>
    <row r="63" spans="1:31" s="255" customFormat="1" ht="20.149999999999999" hidden="1" customHeight="1" outlineLevel="1" x14ac:dyDescent="0.55000000000000004">
      <c r="A63" s="261"/>
      <c r="B63" s="545" t="s">
        <v>23</v>
      </c>
      <c r="C63" s="355">
        <v>22991</v>
      </c>
      <c r="D63" s="356">
        <v>20603</v>
      </c>
      <c r="E63" s="357">
        <f t="shared" si="23"/>
        <v>43594</v>
      </c>
      <c r="F63" s="355">
        <v>1967029</v>
      </c>
      <c r="G63" s="356">
        <v>3143893</v>
      </c>
      <c r="H63" s="357">
        <f t="shared" si="24"/>
        <v>5110922</v>
      </c>
      <c r="I63" s="355">
        <v>44147230</v>
      </c>
      <c r="J63" s="356">
        <v>156438825</v>
      </c>
      <c r="K63" s="357">
        <f t="shared" si="25"/>
        <v>200586055</v>
      </c>
      <c r="L63" s="355">
        <v>41875753</v>
      </c>
      <c r="M63" s="356">
        <v>152897075</v>
      </c>
      <c r="N63" s="357">
        <f t="shared" si="26"/>
        <v>194772828</v>
      </c>
    </row>
    <row r="64" spans="1:31" s="255" customFormat="1" ht="20.149999999999999" hidden="1" customHeight="1" outlineLevel="1" x14ac:dyDescent="0.55000000000000004">
      <c r="A64" s="261"/>
      <c r="B64" s="545" t="s">
        <v>24</v>
      </c>
      <c r="C64" s="355">
        <v>25402</v>
      </c>
      <c r="D64" s="356">
        <v>37998</v>
      </c>
      <c r="E64" s="357">
        <f t="shared" si="23"/>
        <v>63400</v>
      </c>
      <c r="F64" s="355">
        <v>2570064</v>
      </c>
      <c r="G64" s="356">
        <v>5078157</v>
      </c>
      <c r="H64" s="357">
        <f t="shared" si="24"/>
        <v>7648221</v>
      </c>
      <c r="I64" s="355">
        <v>66247425</v>
      </c>
      <c r="J64" s="356">
        <v>250883150</v>
      </c>
      <c r="K64" s="357">
        <f t="shared" si="25"/>
        <v>317130575</v>
      </c>
      <c r="L64" s="355">
        <v>61210179</v>
      </c>
      <c r="M64" s="356">
        <v>243119750</v>
      </c>
      <c r="N64" s="357">
        <f t="shared" si="26"/>
        <v>304329929</v>
      </c>
    </row>
    <row r="65" spans="1:31" s="255" customFormat="1" ht="20.149999999999999" hidden="1" customHeight="1" outlineLevel="1" x14ac:dyDescent="0.55000000000000004">
      <c r="A65" s="261"/>
      <c r="B65" s="545" t="s">
        <v>25</v>
      </c>
      <c r="C65" s="355">
        <v>42206</v>
      </c>
      <c r="D65" s="356">
        <v>45514</v>
      </c>
      <c r="E65" s="357">
        <f t="shared" si="23"/>
        <v>87720</v>
      </c>
      <c r="F65" s="355">
        <v>4136688</v>
      </c>
      <c r="G65" s="356">
        <v>5848059</v>
      </c>
      <c r="H65" s="357">
        <f t="shared" si="24"/>
        <v>9984747</v>
      </c>
      <c r="I65" s="355">
        <v>122737235</v>
      </c>
      <c r="J65" s="356">
        <v>293471619</v>
      </c>
      <c r="K65" s="357">
        <f t="shared" si="25"/>
        <v>416208854</v>
      </c>
      <c r="L65" s="355">
        <v>112925971</v>
      </c>
      <c r="M65" s="356">
        <v>285108999</v>
      </c>
      <c r="N65" s="357">
        <f t="shared" si="26"/>
        <v>398034970</v>
      </c>
    </row>
    <row r="66" spans="1:31" s="255" customFormat="1" ht="20.149999999999999" hidden="1" customHeight="1" outlineLevel="1" x14ac:dyDescent="0.55000000000000004">
      <c r="A66" s="261"/>
      <c r="B66" s="545" t="s">
        <v>26</v>
      </c>
      <c r="C66" s="355">
        <v>51337</v>
      </c>
      <c r="D66" s="356">
        <v>50607</v>
      </c>
      <c r="E66" s="357">
        <f t="shared" si="23"/>
        <v>101944</v>
      </c>
      <c r="F66" s="355">
        <v>5598671</v>
      </c>
      <c r="G66" s="356">
        <v>10116593</v>
      </c>
      <c r="H66" s="357">
        <f t="shared" si="24"/>
        <v>15715264</v>
      </c>
      <c r="I66" s="355">
        <v>138231580</v>
      </c>
      <c r="J66" s="356">
        <v>491259799</v>
      </c>
      <c r="K66" s="357">
        <f t="shared" si="25"/>
        <v>629491379</v>
      </c>
      <c r="L66" s="355">
        <v>131275027</v>
      </c>
      <c r="M66" s="356">
        <v>451803698</v>
      </c>
      <c r="N66" s="357">
        <f t="shared" si="26"/>
        <v>583078725</v>
      </c>
    </row>
    <row r="67" spans="1:31" s="255" customFormat="1" ht="20.149999999999999" customHeight="1" collapsed="1" x14ac:dyDescent="0.55000000000000004">
      <c r="A67" s="21"/>
      <c r="B67" s="354" t="s">
        <v>127</v>
      </c>
      <c r="C67" s="355">
        <v>261272</v>
      </c>
      <c r="D67" s="356">
        <v>380557</v>
      </c>
      <c r="E67" s="357">
        <f t="shared" si="11"/>
        <v>641829</v>
      </c>
      <c r="F67" s="355">
        <v>26143785</v>
      </c>
      <c r="G67" s="356">
        <v>66350446</v>
      </c>
      <c r="H67" s="357">
        <f t="shared" si="12"/>
        <v>92494231</v>
      </c>
      <c r="I67" s="355">
        <v>665613588</v>
      </c>
      <c r="J67" s="356">
        <v>3621086579</v>
      </c>
      <c r="K67" s="357">
        <f t="shared" si="13"/>
        <v>4286700167</v>
      </c>
      <c r="L67" s="355">
        <v>620800762</v>
      </c>
      <c r="M67" s="356">
        <v>3497867974</v>
      </c>
      <c r="N67" s="357">
        <f t="shared" si="18"/>
        <v>4118668736</v>
      </c>
      <c r="O67" s="40"/>
      <c r="P67" s="40"/>
      <c r="Q67" s="40"/>
      <c r="R67" s="40"/>
      <c r="S67" s="40"/>
      <c r="T67" s="40"/>
      <c r="U67" s="40"/>
      <c r="V67" s="40"/>
      <c r="W67" s="40"/>
      <c r="X67" s="40"/>
      <c r="Y67" s="40"/>
      <c r="Z67" s="40"/>
      <c r="AA67" s="40"/>
      <c r="AB67" s="40"/>
      <c r="AC67" s="40"/>
      <c r="AD67" s="40"/>
      <c r="AE67" s="40"/>
    </row>
    <row r="68" spans="1:31" ht="20.149999999999999" customHeight="1" x14ac:dyDescent="0.3">
      <c r="A68" s="2"/>
      <c r="B68" s="548" t="s">
        <v>1101</v>
      </c>
      <c r="C68" s="543"/>
      <c r="D68" s="543"/>
      <c r="E68" s="543"/>
      <c r="F68" s="543"/>
      <c r="G68" s="543"/>
      <c r="H68" s="543"/>
      <c r="I68" s="543"/>
      <c r="J68" s="543"/>
      <c r="K68" s="543"/>
      <c r="L68" s="543"/>
      <c r="M68" s="543"/>
      <c r="N68" s="543"/>
    </row>
    <row r="69" spans="1:31" s="255" customFormat="1" ht="20.149999999999999" hidden="1" customHeight="1" outlineLevel="1" x14ac:dyDescent="0.55000000000000004">
      <c r="A69" s="34"/>
      <c r="B69" s="544" t="s">
        <v>18</v>
      </c>
      <c r="C69" s="360">
        <v>20664</v>
      </c>
      <c r="D69" s="361">
        <v>61675</v>
      </c>
      <c r="E69" s="362">
        <f t="shared" ref="E69:E77" si="27">SUM(C69:D69)</f>
        <v>82339</v>
      </c>
      <c r="F69" s="360">
        <v>2139884</v>
      </c>
      <c r="G69" s="361">
        <v>10711490</v>
      </c>
      <c r="H69" s="362">
        <f t="shared" ref="H69:H77" si="28">SUM(F69:G69)</f>
        <v>12851374</v>
      </c>
      <c r="I69" s="360">
        <v>64898478</v>
      </c>
      <c r="J69" s="361">
        <v>588467763</v>
      </c>
      <c r="K69" s="362">
        <f t="shared" ref="K69:K77" si="29">SUM(I69:J69)</f>
        <v>653366241</v>
      </c>
      <c r="L69" s="360">
        <v>59738336</v>
      </c>
      <c r="M69" s="361">
        <v>572649349</v>
      </c>
      <c r="N69" s="362">
        <f t="shared" ref="N69:N77" si="30">SUM(L69:M69)</f>
        <v>632387685</v>
      </c>
    </row>
    <row r="70" spans="1:31" s="255" customFormat="1" ht="20.149999999999999" hidden="1" customHeight="1" outlineLevel="1" x14ac:dyDescent="0.55000000000000004">
      <c r="A70" s="34"/>
      <c r="B70" s="545" t="s">
        <v>19</v>
      </c>
      <c r="C70" s="360">
        <v>16968</v>
      </c>
      <c r="D70" s="361">
        <v>34477</v>
      </c>
      <c r="E70" s="362">
        <f t="shared" si="27"/>
        <v>51445</v>
      </c>
      <c r="F70" s="360">
        <v>1599524</v>
      </c>
      <c r="G70" s="361">
        <v>5578950</v>
      </c>
      <c r="H70" s="362">
        <f t="shared" si="28"/>
        <v>7178474</v>
      </c>
      <c r="I70" s="360">
        <v>43462765</v>
      </c>
      <c r="J70" s="361">
        <v>308906447</v>
      </c>
      <c r="K70" s="362">
        <f t="shared" si="29"/>
        <v>352369212</v>
      </c>
      <c r="L70" s="360">
        <v>40075840</v>
      </c>
      <c r="M70" s="361">
        <v>301045195</v>
      </c>
      <c r="N70" s="362">
        <f t="shared" si="30"/>
        <v>341121035</v>
      </c>
    </row>
    <row r="71" spans="1:31" s="255" customFormat="1" ht="20.149999999999999" hidden="1" customHeight="1" outlineLevel="1" x14ac:dyDescent="0.55000000000000004">
      <c r="A71" s="261"/>
      <c r="B71" s="545" t="s">
        <v>20</v>
      </c>
      <c r="C71" s="360">
        <v>9667</v>
      </c>
      <c r="D71" s="361">
        <v>58904</v>
      </c>
      <c r="E71" s="362">
        <f t="shared" si="27"/>
        <v>68571</v>
      </c>
      <c r="F71" s="360">
        <v>850351</v>
      </c>
      <c r="G71" s="361">
        <v>14381101</v>
      </c>
      <c r="H71" s="362">
        <f t="shared" si="28"/>
        <v>15231452</v>
      </c>
      <c r="I71" s="360">
        <v>18343465</v>
      </c>
      <c r="J71" s="361">
        <v>998611952</v>
      </c>
      <c r="K71" s="362">
        <f t="shared" si="29"/>
        <v>1016955417</v>
      </c>
      <c r="L71" s="360">
        <v>16797241</v>
      </c>
      <c r="M71" s="361">
        <v>956886538</v>
      </c>
      <c r="N71" s="362">
        <f t="shared" si="30"/>
        <v>973683779</v>
      </c>
    </row>
    <row r="72" spans="1:31" s="255" customFormat="1" ht="20.149999999999999" hidden="1" customHeight="1" outlineLevel="1" x14ac:dyDescent="0.55000000000000004">
      <c r="A72" s="261"/>
      <c r="B72" s="545" t="s">
        <v>21</v>
      </c>
      <c r="C72" s="360">
        <v>16633</v>
      </c>
      <c r="D72" s="361">
        <v>29368</v>
      </c>
      <c r="E72" s="362">
        <f t="shared" si="27"/>
        <v>46001</v>
      </c>
      <c r="F72" s="360">
        <v>1364946</v>
      </c>
      <c r="G72" s="361">
        <v>5365064</v>
      </c>
      <c r="H72" s="362">
        <f t="shared" si="28"/>
        <v>6730010</v>
      </c>
      <c r="I72" s="360">
        <v>28466076</v>
      </c>
      <c r="J72" s="361">
        <v>268201733</v>
      </c>
      <c r="K72" s="362">
        <f t="shared" si="29"/>
        <v>296667809</v>
      </c>
      <c r="L72" s="360">
        <v>26344276</v>
      </c>
      <c r="M72" s="361">
        <v>263234531</v>
      </c>
      <c r="N72" s="362">
        <f t="shared" si="30"/>
        <v>289578807</v>
      </c>
    </row>
    <row r="73" spans="1:31" s="255" customFormat="1" ht="20.149999999999999" hidden="1" customHeight="1" outlineLevel="1" x14ac:dyDescent="0.55000000000000004">
      <c r="A73" s="261"/>
      <c r="B73" s="545" t="s">
        <v>22</v>
      </c>
      <c r="C73" s="360">
        <v>55813</v>
      </c>
      <c r="D73" s="361">
        <v>41560</v>
      </c>
      <c r="E73" s="362">
        <f t="shared" si="27"/>
        <v>97373</v>
      </c>
      <c r="F73" s="360">
        <v>5986770</v>
      </c>
      <c r="G73" s="361">
        <v>6351663</v>
      </c>
      <c r="H73" s="362">
        <f t="shared" si="28"/>
        <v>12338433</v>
      </c>
      <c r="I73" s="360">
        <v>152034614</v>
      </c>
      <c r="J73" s="361">
        <v>290958902</v>
      </c>
      <c r="K73" s="362">
        <f t="shared" si="29"/>
        <v>442993516</v>
      </c>
      <c r="L73" s="360">
        <v>143362344</v>
      </c>
      <c r="M73" s="361">
        <v>285760654</v>
      </c>
      <c r="N73" s="362">
        <f t="shared" si="30"/>
        <v>429122998</v>
      </c>
    </row>
    <row r="74" spans="1:31" s="255" customFormat="1" ht="20.149999999999999" hidden="1" customHeight="1" outlineLevel="1" x14ac:dyDescent="0.55000000000000004">
      <c r="A74" s="261"/>
      <c r="B74" s="545" t="s">
        <v>23</v>
      </c>
      <c r="C74" s="360">
        <v>23001</v>
      </c>
      <c r="D74" s="361">
        <v>20624</v>
      </c>
      <c r="E74" s="362">
        <f t="shared" si="27"/>
        <v>43625</v>
      </c>
      <c r="F74" s="360">
        <v>1962937</v>
      </c>
      <c r="G74" s="361">
        <v>3158851</v>
      </c>
      <c r="H74" s="362">
        <f t="shared" si="28"/>
        <v>5121788</v>
      </c>
      <c r="I74" s="360">
        <v>42722573</v>
      </c>
      <c r="J74" s="361">
        <v>155650819</v>
      </c>
      <c r="K74" s="362">
        <f t="shared" si="29"/>
        <v>198373392</v>
      </c>
      <c r="L74" s="360">
        <v>40407633</v>
      </c>
      <c r="M74" s="361">
        <v>152244187</v>
      </c>
      <c r="N74" s="362">
        <f t="shared" si="30"/>
        <v>192651820</v>
      </c>
    </row>
    <row r="75" spans="1:31" s="255" customFormat="1" ht="20.149999999999999" hidden="1" customHeight="1" outlineLevel="1" x14ac:dyDescent="0.55000000000000004">
      <c r="A75" s="261"/>
      <c r="B75" s="545" t="s">
        <v>24</v>
      </c>
      <c r="C75" s="360">
        <v>25303</v>
      </c>
      <c r="D75" s="361">
        <v>37909</v>
      </c>
      <c r="E75" s="362">
        <f t="shared" si="27"/>
        <v>63212</v>
      </c>
      <c r="F75" s="360">
        <v>2554994</v>
      </c>
      <c r="G75" s="361">
        <v>5064732</v>
      </c>
      <c r="H75" s="362">
        <f t="shared" si="28"/>
        <v>7619726</v>
      </c>
      <c r="I75" s="360">
        <v>63408109</v>
      </c>
      <c r="J75" s="361">
        <v>248499102</v>
      </c>
      <c r="K75" s="362">
        <f t="shared" si="29"/>
        <v>311907211</v>
      </c>
      <c r="L75" s="360">
        <v>58603155</v>
      </c>
      <c r="M75" s="361">
        <v>239943743</v>
      </c>
      <c r="N75" s="362">
        <f t="shared" si="30"/>
        <v>298546898</v>
      </c>
    </row>
    <row r="76" spans="1:31" s="255" customFormat="1" ht="20.149999999999999" hidden="1" customHeight="1" outlineLevel="1" x14ac:dyDescent="0.55000000000000004">
      <c r="A76" s="261"/>
      <c r="B76" s="545" t="s">
        <v>25</v>
      </c>
      <c r="C76" s="360">
        <v>42034</v>
      </c>
      <c r="D76" s="361">
        <v>45518</v>
      </c>
      <c r="E76" s="362">
        <f t="shared" si="27"/>
        <v>87552</v>
      </c>
      <c r="F76" s="360">
        <v>4105633</v>
      </c>
      <c r="G76" s="361">
        <v>5836235</v>
      </c>
      <c r="H76" s="362">
        <f t="shared" si="28"/>
        <v>9941868</v>
      </c>
      <c r="I76" s="360">
        <v>117498084</v>
      </c>
      <c r="J76" s="361">
        <v>291047865</v>
      </c>
      <c r="K76" s="362">
        <f t="shared" si="29"/>
        <v>408545949</v>
      </c>
      <c r="L76" s="360">
        <v>107856446</v>
      </c>
      <c r="M76" s="361">
        <v>281156863</v>
      </c>
      <c r="N76" s="362">
        <f t="shared" si="30"/>
        <v>389013309</v>
      </c>
    </row>
    <row r="77" spans="1:31" s="255" customFormat="1" ht="20.149999999999999" hidden="1" customHeight="1" outlineLevel="1" x14ac:dyDescent="0.55000000000000004">
      <c r="A77" s="261"/>
      <c r="B77" s="545" t="s">
        <v>26</v>
      </c>
      <c r="C77" s="360">
        <v>51189</v>
      </c>
      <c r="D77" s="361">
        <v>50522</v>
      </c>
      <c r="E77" s="362">
        <f t="shared" si="27"/>
        <v>101711</v>
      </c>
      <c r="F77" s="360">
        <v>5578746</v>
      </c>
      <c r="G77" s="361">
        <v>9902361</v>
      </c>
      <c r="H77" s="362">
        <f t="shared" si="28"/>
        <v>15481107</v>
      </c>
      <c r="I77" s="360">
        <v>134779425</v>
      </c>
      <c r="J77" s="361">
        <v>470741996</v>
      </c>
      <c r="K77" s="362">
        <f t="shared" si="29"/>
        <v>605521421</v>
      </c>
      <c r="L77" s="360">
        <v>127615491</v>
      </c>
      <c r="M77" s="361">
        <v>444946913</v>
      </c>
      <c r="N77" s="362">
        <f t="shared" si="30"/>
        <v>572562404</v>
      </c>
    </row>
    <row r="78" spans="1:31" s="255" customFormat="1" ht="20.149999999999999" customHeight="1" collapsed="1" x14ac:dyDescent="0.55000000000000004">
      <c r="A78" s="21"/>
      <c r="B78" s="354" t="s">
        <v>40</v>
      </c>
      <c r="C78" s="355">
        <v>260673</v>
      </c>
      <c r="D78" s="356">
        <v>378143</v>
      </c>
      <c r="E78" s="357">
        <f t="shared" si="11"/>
        <v>638816</v>
      </c>
      <c r="F78" s="355">
        <v>25997657</v>
      </c>
      <c r="G78" s="356">
        <v>65914446</v>
      </c>
      <c r="H78" s="357">
        <f t="shared" si="12"/>
        <v>91912103</v>
      </c>
      <c r="I78" s="355">
        <v>639419125</v>
      </c>
      <c r="J78" s="356">
        <v>3551769801</v>
      </c>
      <c r="K78" s="357">
        <f t="shared" si="13"/>
        <v>4191188926</v>
      </c>
      <c r="L78" s="355">
        <v>597775902</v>
      </c>
      <c r="M78" s="356">
        <v>3426982795</v>
      </c>
      <c r="N78" s="357">
        <f t="shared" si="18"/>
        <v>4024758697</v>
      </c>
      <c r="O78" s="40"/>
      <c r="P78" s="40"/>
      <c r="Q78" s="40"/>
      <c r="R78" s="40"/>
      <c r="S78" s="40"/>
      <c r="T78" s="40"/>
      <c r="U78" s="40"/>
      <c r="V78" s="40"/>
      <c r="W78" s="40"/>
      <c r="X78" s="40"/>
      <c r="Y78" s="40"/>
      <c r="Z78" s="40"/>
      <c r="AA78" s="40"/>
      <c r="AB78" s="40"/>
      <c r="AC78" s="40"/>
      <c r="AD78" s="40"/>
      <c r="AE78" s="40"/>
    </row>
    <row r="79" spans="1:31" s="255" customFormat="1" ht="20.149999999999999" customHeight="1" x14ac:dyDescent="0.55000000000000004">
      <c r="A79" s="21"/>
      <c r="B79" s="371" t="s">
        <v>3</v>
      </c>
      <c r="C79" s="360">
        <v>259756</v>
      </c>
      <c r="D79" s="361">
        <v>375170</v>
      </c>
      <c r="E79" s="362">
        <f t="shared" si="11"/>
        <v>634926</v>
      </c>
      <c r="F79" s="360">
        <v>25844187</v>
      </c>
      <c r="G79" s="361">
        <v>65384907</v>
      </c>
      <c r="H79" s="362">
        <f t="shared" si="12"/>
        <v>91229094</v>
      </c>
      <c r="I79" s="360">
        <v>661450044</v>
      </c>
      <c r="J79" s="361">
        <v>3545325600</v>
      </c>
      <c r="K79" s="362">
        <f t="shared" si="13"/>
        <v>4206775644</v>
      </c>
      <c r="L79" s="360">
        <v>618811388</v>
      </c>
      <c r="M79" s="361">
        <v>3420315003</v>
      </c>
      <c r="N79" s="362">
        <f t="shared" si="18"/>
        <v>4039126391</v>
      </c>
      <c r="O79" s="40"/>
      <c r="P79" s="40"/>
      <c r="Q79" s="40"/>
      <c r="R79" s="40"/>
      <c r="S79" s="40"/>
      <c r="T79" s="40"/>
      <c r="U79" s="40"/>
      <c r="V79" s="40"/>
      <c r="W79" s="40"/>
      <c r="X79" s="40"/>
      <c r="Y79" s="40"/>
      <c r="Z79" s="40"/>
      <c r="AA79" s="40"/>
      <c r="AB79" s="40"/>
      <c r="AC79" s="40"/>
      <c r="AD79" s="40"/>
      <c r="AE79" s="40"/>
    </row>
  </sheetData>
  <sortState ref="B73:N75">
    <sortCondition descending="1" ref="B73"/>
  </sortState>
  <customSheetViews>
    <customSheetView guid="{501209ED-4B79-4E52-B95E-748E5E77E24F}" hiddenRows="1">
      <pane xSplit="2" ySplit="10" topLeftCell="C11" activePane="bottomRight" state="frozen"/>
      <selection pane="bottomRight" activeCell="L12" sqref="L12:M22"/>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4">
    <mergeCell ref="C10:E10"/>
    <mergeCell ref="F10:H10"/>
    <mergeCell ref="I10:K10"/>
    <mergeCell ref="L10:N10"/>
  </mergeCells>
  <phoneticPr fontId="1"/>
  <conditionalFormatting sqref="C34:N34 C45:N45 C56:N56 C67:N67 C78:N79 C23:N23">
    <cfRule type="containsBlanks" dxfId="226" priority="57">
      <formula>LEN(TRIM(C23))=0</formula>
    </cfRule>
  </conditionalFormatting>
  <conditionalFormatting sqref="C36:N36">
    <cfRule type="containsBlanks" dxfId="225" priority="54">
      <formula>LEN(TRIM(C36))=0</formula>
    </cfRule>
  </conditionalFormatting>
  <conditionalFormatting sqref="C37:N37">
    <cfRule type="containsBlanks" dxfId="224" priority="53">
      <formula>LEN(TRIM(C37))=0</formula>
    </cfRule>
  </conditionalFormatting>
  <conditionalFormatting sqref="C38:N38">
    <cfRule type="containsBlanks" dxfId="223" priority="52">
      <formula>LEN(TRIM(C38))=0</formula>
    </cfRule>
  </conditionalFormatting>
  <conditionalFormatting sqref="C39:N39">
    <cfRule type="containsBlanks" dxfId="222" priority="51">
      <formula>LEN(TRIM(C39))=0</formula>
    </cfRule>
  </conditionalFormatting>
  <conditionalFormatting sqref="C40:N40">
    <cfRule type="containsBlanks" dxfId="221" priority="50">
      <formula>LEN(TRIM(C40))=0</formula>
    </cfRule>
  </conditionalFormatting>
  <conditionalFormatting sqref="C41:N41">
    <cfRule type="containsBlanks" dxfId="220" priority="49">
      <formula>LEN(TRIM(C41))=0</formula>
    </cfRule>
  </conditionalFormatting>
  <conditionalFormatting sqref="C42:N42">
    <cfRule type="containsBlanks" dxfId="219" priority="48">
      <formula>LEN(TRIM(C42))=0</formula>
    </cfRule>
  </conditionalFormatting>
  <conditionalFormatting sqref="C43:N43">
    <cfRule type="containsBlanks" dxfId="218" priority="47">
      <formula>LEN(TRIM(C43))=0</formula>
    </cfRule>
  </conditionalFormatting>
  <conditionalFormatting sqref="C44:N44">
    <cfRule type="containsBlanks" dxfId="217" priority="46">
      <formula>LEN(TRIM(C44))=0</formula>
    </cfRule>
  </conditionalFormatting>
  <conditionalFormatting sqref="C47:N47">
    <cfRule type="containsBlanks" dxfId="216" priority="44">
      <formula>LEN(TRIM(C47))=0</formula>
    </cfRule>
  </conditionalFormatting>
  <conditionalFormatting sqref="C48:N48">
    <cfRule type="containsBlanks" dxfId="215" priority="43">
      <formula>LEN(TRIM(C48))=0</formula>
    </cfRule>
  </conditionalFormatting>
  <conditionalFormatting sqref="C49:N49">
    <cfRule type="containsBlanks" dxfId="214" priority="42">
      <formula>LEN(TRIM(C49))=0</formula>
    </cfRule>
  </conditionalFormatting>
  <conditionalFormatting sqref="C50:N50">
    <cfRule type="containsBlanks" dxfId="213" priority="41">
      <formula>LEN(TRIM(C50))=0</formula>
    </cfRule>
  </conditionalFormatting>
  <conditionalFormatting sqref="C51:N51">
    <cfRule type="containsBlanks" dxfId="212" priority="40">
      <formula>LEN(TRIM(C51))=0</formula>
    </cfRule>
  </conditionalFormatting>
  <conditionalFormatting sqref="C52:N52">
    <cfRule type="containsBlanks" dxfId="211" priority="39">
      <formula>LEN(TRIM(C52))=0</formula>
    </cfRule>
  </conditionalFormatting>
  <conditionalFormatting sqref="C53:N53">
    <cfRule type="containsBlanks" dxfId="210" priority="38">
      <formula>LEN(TRIM(C53))=0</formula>
    </cfRule>
  </conditionalFormatting>
  <conditionalFormatting sqref="C54:N54">
    <cfRule type="containsBlanks" dxfId="209" priority="37">
      <formula>LEN(TRIM(C54))=0</formula>
    </cfRule>
  </conditionalFormatting>
  <conditionalFormatting sqref="C55:N55">
    <cfRule type="containsBlanks" dxfId="208" priority="36">
      <formula>LEN(TRIM(C55))=0</formula>
    </cfRule>
  </conditionalFormatting>
  <conditionalFormatting sqref="C58:N58">
    <cfRule type="containsBlanks" dxfId="207" priority="34">
      <formula>LEN(TRIM(C58))=0</formula>
    </cfRule>
  </conditionalFormatting>
  <conditionalFormatting sqref="C59:N59">
    <cfRule type="containsBlanks" dxfId="206" priority="33">
      <formula>LEN(TRIM(C59))=0</formula>
    </cfRule>
  </conditionalFormatting>
  <conditionalFormatting sqref="C60:N60">
    <cfRule type="containsBlanks" dxfId="205" priority="32">
      <formula>LEN(TRIM(C60))=0</formula>
    </cfRule>
  </conditionalFormatting>
  <conditionalFormatting sqref="C61:N61">
    <cfRule type="containsBlanks" dxfId="204" priority="31">
      <formula>LEN(TRIM(C61))=0</formula>
    </cfRule>
  </conditionalFormatting>
  <conditionalFormatting sqref="C62:N62">
    <cfRule type="containsBlanks" dxfId="203" priority="30">
      <formula>LEN(TRIM(C62))=0</formula>
    </cfRule>
  </conditionalFormatting>
  <conditionalFormatting sqref="C63:N63">
    <cfRule type="containsBlanks" dxfId="202" priority="29">
      <formula>LEN(TRIM(C63))=0</formula>
    </cfRule>
  </conditionalFormatting>
  <conditionalFormatting sqref="C64:N64">
    <cfRule type="containsBlanks" dxfId="201" priority="28">
      <formula>LEN(TRIM(C64))=0</formula>
    </cfRule>
  </conditionalFormatting>
  <conditionalFormatting sqref="C65:N65">
    <cfRule type="containsBlanks" dxfId="200" priority="27">
      <formula>LEN(TRIM(C65))=0</formula>
    </cfRule>
  </conditionalFormatting>
  <conditionalFormatting sqref="C66:N66">
    <cfRule type="containsBlanks" dxfId="199" priority="26">
      <formula>LEN(TRIM(C66))=0</formula>
    </cfRule>
  </conditionalFormatting>
  <conditionalFormatting sqref="C69:N69">
    <cfRule type="containsBlanks" dxfId="198" priority="24">
      <formula>LEN(TRIM(C69))=0</formula>
    </cfRule>
  </conditionalFormatting>
  <conditionalFormatting sqref="C70:N70">
    <cfRule type="containsBlanks" dxfId="197" priority="23">
      <formula>LEN(TRIM(C70))=0</formula>
    </cfRule>
  </conditionalFormatting>
  <conditionalFormatting sqref="C71:N71">
    <cfRule type="containsBlanks" dxfId="196" priority="22">
      <formula>LEN(TRIM(C71))=0</formula>
    </cfRule>
  </conditionalFormatting>
  <conditionalFormatting sqref="C72:N72">
    <cfRule type="containsBlanks" dxfId="195" priority="21">
      <formula>LEN(TRIM(C72))=0</formula>
    </cfRule>
  </conditionalFormatting>
  <conditionalFormatting sqref="C73:N73">
    <cfRule type="containsBlanks" dxfId="194" priority="20">
      <formula>LEN(TRIM(C73))=0</formula>
    </cfRule>
  </conditionalFormatting>
  <conditionalFormatting sqref="C74:N74">
    <cfRule type="containsBlanks" dxfId="193" priority="19">
      <formula>LEN(TRIM(C74))=0</formula>
    </cfRule>
  </conditionalFormatting>
  <conditionalFormatting sqref="C75:N75">
    <cfRule type="containsBlanks" dxfId="192" priority="18">
      <formula>LEN(TRIM(C75))=0</formula>
    </cfRule>
  </conditionalFormatting>
  <conditionalFormatting sqref="C76:N76">
    <cfRule type="containsBlanks" dxfId="191" priority="17">
      <formula>LEN(TRIM(C76))=0</formula>
    </cfRule>
  </conditionalFormatting>
  <conditionalFormatting sqref="C77:N77">
    <cfRule type="containsBlanks" dxfId="190" priority="16">
      <formula>LEN(TRIM(C77))=0</formula>
    </cfRule>
  </conditionalFormatting>
  <conditionalFormatting sqref="E25:E33">
    <cfRule type="containsBlanks" dxfId="189" priority="15">
      <formula>LEN(TRIM(E25))=0</formula>
    </cfRule>
  </conditionalFormatting>
  <conditionalFormatting sqref="H25:H33">
    <cfRule type="containsBlanks" dxfId="188" priority="14">
      <formula>LEN(TRIM(H25))=0</formula>
    </cfRule>
  </conditionalFormatting>
  <conditionalFormatting sqref="K25:K33">
    <cfRule type="containsBlanks" dxfId="187" priority="13">
      <formula>LEN(TRIM(K25))=0</formula>
    </cfRule>
  </conditionalFormatting>
  <conditionalFormatting sqref="C12:N12">
    <cfRule type="containsBlanks" dxfId="186" priority="62">
      <formula>LEN(TRIM(C12))=0</formula>
    </cfRule>
  </conditionalFormatting>
  <conditionalFormatting sqref="E14:E22">
    <cfRule type="containsBlanks" dxfId="185" priority="7">
      <formula>LEN(TRIM(E14))=0</formula>
    </cfRule>
  </conditionalFormatting>
  <conditionalFormatting sqref="H14:H22">
    <cfRule type="containsBlanks" dxfId="184" priority="61">
      <formula>LEN(TRIM(H14))=0</formula>
    </cfRule>
  </conditionalFormatting>
  <conditionalFormatting sqref="K14:K22">
    <cfRule type="containsBlanks" dxfId="183" priority="5">
      <formula>LEN(TRIM(K14))=0</formula>
    </cfRule>
  </conditionalFormatting>
  <conditionalFormatting sqref="C14:D22">
    <cfRule type="containsBlanks" dxfId="182" priority="60">
      <formula>LEN(TRIM(C14))=0</formula>
    </cfRule>
  </conditionalFormatting>
  <conditionalFormatting sqref="F14:G22">
    <cfRule type="containsBlanks" dxfId="181" priority="63">
      <formula>LEN(TRIM(F14))=0</formula>
    </cfRule>
  </conditionalFormatting>
  <conditionalFormatting sqref="I14:J22">
    <cfRule type="containsBlanks" dxfId="180" priority="59">
      <formula>LEN(TRIM(I14))=0</formula>
    </cfRule>
  </conditionalFormatting>
  <conditionalFormatting sqref="L14:M22">
    <cfRule type="containsBlanks" dxfId="179" priority="58">
      <formula>LEN(TRIM(L14))=0</formula>
    </cfRule>
  </conditionalFormatting>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extLst>
    <ext xmlns:x14="http://schemas.microsoft.com/office/spreadsheetml/2009/9/main" uri="{78C0D931-6437-407d-A8EE-F0AAD7539E65}">
      <x14:conditionalFormattings>
        <x14:conditionalFormatting xmlns:xm="http://schemas.microsoft.com/office/excel/2006/main">
          <x14:cfRule type="containsBlanks" priority="12" id="{4165EB25-BAAF-4287-928C-BC29ACDFA182}">
            <xm:f>LEN(TRIM('[Book2]3(2)固定資産税（地目別地積の推移（土地））'!#REF!))=0</xm:f>
            <x14:dxf>
              <fill>
                <patternFill>
                  <bgColor rgb="FFFFFF00"/>
                </patternFill>
              </fill>
            </x14:dxf>
          </x14:cfRule>
          <xm:sqref>C25:D33</xm:sqref>
        </x14:conditionalFormatting>
        <x14:conditionalFormatting xmlns:xm="http://schemas.microsoft.com/office/excel/2006/main">
          <x14:cfRule type="containsBlanks" priority="11" id="{400C1B19-9BEA-42BF-9570-9D9211F431C3}">
            <xm:f>LEN(TRIM('[Book2]3(2)固定資産税（地目別地積の推移（土地））'!#REF!))=0</xm:f>
            <x14:dxf>
              <fill>
                <patternFill>
                  <bgColor rgb="FFFFFF00"/>
                </patternFill>
              </fill>
            </x14:dxf>
          </x14:cfRule>
          <xm:sqref>F25:G33</xm:sqref>
        </x14:conditionalFormatting>
        <x14:conditionalFormatting xmlns:xm="http://schemas.microsoft.com/office/excel/2006/main">
          <x14:cfRule type="containsBlanks" priority="10" id="{5B8EAB41-1E11-40C1-91B6-7E7486D1B5E9}">
            <xm:f>LEN(TRIM('[Book2]3(2)固定資産税（地目別地積の推移（土地））'!#REF!))=0</xm:f>
            <x14:dxf>
              <fill>
                <patternFill>
                  <bgColor rgb="FFFFFF00"/>
                </patternFill>
              </fill>
            </x14:dxf>
          </x14:cfRule>
          <xm:sqref>I25:J33</xm:sqref>
        </x14:conditionalFormatting>
        <x14:conditionalFormatting xmlns:xm="http://schemas.microsoft.com/office/excel/2006/main">
          <x14:cfRule type="containsBlanks" priority="9" id="{211C0F56-88B7-4C87-B6AB-AEEEE5932682}">
            <xm:f>LEN(TRIM('[Book2]3(2)固定資産税（地目別地積の推移（土地））'!#REF!))=0</xm:f>
            <x14:dxf>
              <fill>
                <patternFill>
                  <bgColor rgb="FFFFFF00"/>
                </patternFill>
              </fill>
            </x14:dxf>
          </x14:cfRule>
          <xm:sqref>L25:M33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zoomScale="85" zoomScaleNormal="85" workbookViewId="0">
      <pane xSplit="2" ySplit="11" topLeftCell="C12" activePane="bottomRight" state="frozen"/>
      <selection pane="topRight" activeCell="C1" sqref="C1"/>
      <selection pane="bottomLeft" activeCell="A12" sqref="A12"/>
      <selection pane="bottomRight" activeCell="B1" sqref="B1"/>
    </sheetView>
  </sheetViews>
  <sheetFormatPr defaultColWidth="8.58203125" defaultRowHeight="14.5" outlineLevelRow="1" x14ac:dyDescent="0.35"/>
  <cols>
    <col min="1" max="1" width="6.58203125" style="4" bestFit="1" customWidth="1"/>
    <col min="2" max="2" width="10.33203125" style="1" bestFit="1" customWidth="1"/>
    <col min="3" max="3" width="13.58203125" style="1" customWidth="1"/>
    <col min="4" max="5" width="13.58203125" style="2" customWidth="1"/>
    <col min="6" max="6" width="13.58203125" style="4" customWidth="1"/>
    <col min="7" max="13" width="13.58203125" style="1" customWidth="1"/>
    <col min="14" max="27" width="10.83203125" style="1" bestFit="1" customWidth="1"/>
    <col min="28" max="29" width="10.33203125" style="1" bestFit="1" customWidth="1"/>
    <col min="30" max="16384" width="8.58203125" style="1"/>
  </cols>
  <sheetData>
    <row r="1" spans="1:29" x14ac:dyDescent="0.35">
      <c r="A1" s="433" t="s">
        <v>438</v>
      </c>
      <c r="B1" s="433"/>
    </row>
    <row r="3" spans="1:29" s="253" customFormat="1" ht="20.149999999999999" customHeight="1" x14ac:dyDescent="0.55000000000000004">
      <c r="A3" s="252" t="s">
        <v>120</v>
      </c>
    </row>
    <row r="4" spans="1:29" s="253" customFormat="1" ht="20.149999999999999" customHeight="1" x14ac:dyDescent="0.55000000000000004">
      <c r="A4" s="252" t="s">
        <v>164</v>
      </c>
    </row>
    <row r="5" spans="1:29" s="253" customFormat="1" ht="14.5" customHeight="1" x14ac:dyDescent="0.55000000000000004">
      <c r="A5" s="46"/>
    </row>
    <row r="6" spans="1:29" s="253" customFormat="1" ht="14.5" customHeight="1" x14ac:dyDescent="0.55000000000000004">
      <c r="A6" s="17" t="s">
        <v>28</v>
      </c>
      <c r="B6" s="30" t="s">
        <v>1118</v>
      </c>
    </row>
    <row r="7" spans="1:29" s="253" customFormat="1" ht="14.5" customHeight="1" x14ac:dyDescent="0.55000000000000004">
      <c r="B7" s="30" t="s">
        <v>1122</v>
      </c>
    </row>
    <row r="8" spans="1:29" s="253" customFormat="1" ht="14.5" customHeight="1" x14ac:dyDescent="0.55000000000000004">
      <c r="A8" s="30"/>
      <c r="B8" s="30" t="s">
        <v>1116</v>
      </c>
    </row>
    <row r="9" spans="1:29" s="22" customFormat="1" ht="14.5" customHeight="1" x14ac:dyDescent="0.55000000000000004">
      <c r="A9" s="22" t="s">
        <v>32</v>
      </c>
      <c r="B9" s="30"/>
      <c r="C9" s="421"/>
      <c r="D9" s="421"/>
      <c r="E9" s="421"/>
      <c r="F9" s="421"/>
      <c r="G9" s="421"/>
      <c r="H9" s="421"/>
      <c r="I9" s="421"/>
      <c r="J9" s="421"/>
      <c r="K9" s="421"/>
      <c r="L9" s="421"/>
    </row>
    <row r="10" spans="1:29" s="255" customFormat="1" ht="20.149999999999999" customHeight="1" x14ac:dyDescent="0.55000000000000004">
      <c r="A10" s="21"/>
      <c r="B10" s="327"/>
      <c r="C10" s="672" t="s">
        <v>174</v>
      </c>
      <c r="D10" s="672"/>
      <c r="E10" s="672"/>
      <c r="F10" s="672"/>
      <c r="G10" s="672"/>
      <c r="H10" s="672"/>
      <c r="I10" s="672"/>
      <c r="J10" s="672" t="s">
        <v>175</v>
      </c>
      <c r="K10" s="672"/>
      <c r="L10" s="672"/>
      <c r="M10" s="680" t="s">
        <v>173</v>
      </c>
      <c r="N10" s="40"/>
      <c r="O10" s="40"/>
      <c r="P10" s="40"/>
      <c r="Q10" s="40"/>
      <c r="R10" s="40"/>
      <c r="S10" s="40"/>
      <c r="T10" s="40"/>
      <c r="U10" s="40"/>
      <c r="V10" s="40"/>
      <c r="W10" s="40"/>
      <c r="X10" s="40"/>
      <c r="Y10" s="40"/>
      <c r="Z10" s="40"/>
      <c r="AA10" s="40"/>
      <c r="AB10" s="40"/>
      <c r="AC10" s="40"/>
    </row>
    <row r="11" spans="1:29" s="21" customFormat="1" ht="20.149999999999999" customHeight="1" x14ac:dyDescent="0.55000000000000004">
      <c r="B11" s="327"/>
      <c r="C11" s="365" t="s">
        <v>165</v>
      </c>
      <c r="D11" s="365" t="s">
        <v>166</v>
      </c>
      <c r="E11" s="365" t="s">
        <v>167</v>
      </c>
      <c r="F11" s="365" t="s">
        <v>168</v>
      </c>
      <c r="G11" s="365" t="s">
        <v>169</v>
      </c>
      <c r="H11" s="365" t="s">
        <v>170</v>
      </c>
      <c r="I11" s="365" t="s">
        <v>124</v>
      </c>
      <c r="J11" s="365" t="s">
        <v>171</v>
      </c>
      <c r="K11" s="365" t="s">
        <v>172</v>
      </c>
      <c r="L11" s="365" t="s">
        <v>124</v>
      </c>
      <c r="M11" s="681"/>
      <c r="N11" s="45"/>
      <c r="O11" s="45"/>
      <c r="P11" s="45"/>
      <c r="Q11" s="45"/>
      <c r="R11" s="45"/>
      <c r="S11" s="45"/>
      <c r="T11" s="45"/>
      <c r="U11" s="45"/>
      <c r="V11" s="45"/>
      <c r="W11" s="45"/>
      <c r="X11" s="45"/>
      <c r="Y11" s="45"/>
      <c r="Z11" s="45"/>
      <c r="AA11" s="45"/>
      <c r="AB11" s="45"/>
      <c r="AC11" s="45"/>
    </row>
    <row r="12" spans="1:29" s="255" customFormat="1" ht="20.149999999999999" customHeight="1" x14ac:dyDescent="0.55000000000000004">
      <c r="A12" s="21"/>
      <c r="B12" s="353" t="s">
        <v>1127</v>
      </c>
      <c r="C12" s="820">
        <f>SUM(C14:C22)</f>
        <v>354810100</v>
      </c>
      <c r="D12" s="820">
        <f t="shared" ref="D12:H12" si="0">SUM(D14:D22)</f>
        <v>520541667</v>
      </c>
      <c r="E12" s="820">
        <f t="shared" si="0"/>
        <v>75558879</v>
      </c>
      <c r="F12" s="820">
        <f t="shared" si="0"/>
        <v>1425371</v>
      </c>
      <c r="G12" s="820">
        <f t="shared" si="0"/>
        <v>13394240</v>
      </c>
      <c r="H12" s="820">
        <f t="shared" si="0"/>
        <v>223924408</v>
      </c>
      <c r="I12" s="821">
        <f t="shared" ref="I12" si="1">SUM(C12:H12)</f>
        <v>1189654665</v>
      </c>
      <c r="J12" s="820">
        <f t="shared" ref="J12:K12" si="2">SUM(J14:J22)</f>
        <v>304542720</v>
      </c>
      <c r="K12" s="820">
        <f t="shared" si="2"/>
        <v>30409015</v>
      </c>
      <c r="L12" s="821">
        <f>SUM(J12:K12)</f>
        <v>334951735</v>
      </c>
      <c r="M12" s="817">
        <f>I12+L12</f>
        <v>1524606400</v>
      </c>
      <c r="N12" s="40"/>
      <c r="O12" s="40"/>
      <c r="P12" s="40"/>
      <c r="Q12" s="40"/>
      <c r="R12" s="40"/>
      <c r="S12" s="40"/>
      <c r="T12" s="40"/>
      <c r="U12" s="40"/>
      <c r="V12" s="40"/>
      <c r="W12" s="40"/>
      <c r="X12" s="40"/>
      <c r="Y12" s="40"/>
      <c r="Z12" s="40"/>
      <c r="AA12" s="40"/>
      <c r="AB12" s="40"/>
      <c r="AC12" s="40"/>
    </row>
    <row r="13" spans="1:29" ht="20.149999999999999" customHeight="1" x14ac:dyDescent="0.3">
      <c r="A13" s="2"/>
      <c r="B13" s="548" t="s">
        <v>1101</v>
      </c>
      <c r="C13" s="13"/>
      <c r="D13" s="13"/>
      <c r="E13" s="13"/>
      <c r="F13" s="13"/>
      <c r="G13" s="13"/>
      <c r="H13" s="13"/>
      <c r="I13" s="13"/>
      <c r="J13" s="13"/>
      <c r="K13" s="13"/>
      <c r="L13" s="13"/>
      <c r="M13" s="13"/>
    </row>
    <row r="14" spans="1:29" s="255" customFormat="1" ht="20.149999999999999" customHeight="1" outlineLevel="1" x14ac:dyDescent="0.55000000000000004">
      <c r="A14" s="34"/>
      <c r="B14" s="544" t="s">
        <v>18</v>
      </c>
      <c r="C14" s="367">
        <v>43402245</v>
      </c>
      <c r="D14" s="356">
        <v>75302160</v>
      </c>
      <c r="E14" s="356">
        <v>715282</v>
      </c>
      <c r="F14" s="356">
        <v>19542</v>
      </c>
      <c r="G14" s="356">
        <v>1720490</v>
      </c>
      <c r="H14" s="356">
        <v>18051626</v>
      </c>
      <c r="I14" s="357">
        <f t="shared" ref="I14:I22" si="3">SUM(C14:H14)</f>
        <v>139211345</v>
      </c>
      <c r="J14" s="356" t="s">
        <v>50</v>
      </c>
      <c r="K14" s="356" t="s">
        <v>50</v>
      </c>
      <c r="L14" s="357">
        <f>SUM(J14:K14)</f>
        <v>0</v>
      </c>
      <c r="M14" s="385">
        <f>I14+L14</f>
        <v>139211345</v>
      </c>
    </row>
    <row r="15" spans="1:29" s="255" customFormat="1" ht="20.149999999999999" customHeight="1" outlineLevel="1" x14ac:dyDescent="0.55000000000000004">
      <c r="A15" s="34"/>
      <c r="B15" s="545" t="s">
        <v>19</v>
      </c>
      <c r="C15" s="367">
        <v>34273823</v>
      </c>
      <c r="D15" s="356">
        <v>149911144</v>
      </c>
      <c r="E15" s="356">
        <v>67857807</v>
      </c>
      <c r="F15" s="356" t="s">
        <v>50</v>
      </c>
      <c r="G15" s="356">
        <v>797919</v>
      </c>
      <c r="H15" s="356">
        <v>8334998</v>
      </c>
      <c r="I15" s="357">
        <f t="shared" si="3"/>
        <v>261175691</v>
      </c>
      <c r="J15" s="356" t="s">
        <v>50</v>
      </c>
      <c r="K15" s="356" t="s">
        <v>50</v>
      </c>
      <c r="L15" s="357">
        <f t="shared" ref="L15:L22" si="4">SUM(J15:K15)</f>
        <v>0</v>
      </c>
      <c r="M15" s="385">
        <f t="shared" ref="M15:M22" si="5">I15+L15</f>
        <v>261175691</v>
      </c>
    </row>
    <row r="16" spans="1:29" s="255" customFormat="1" ht="20.149999999999999" customHeight="1" outlineLevel="1" x14ac:dyDescent="0.55000000000000004">
      <c r="A16" s="261"/>
      <c r="B16" s="545" t="s">
        <v>20</v>
      </c>
      <c r="C16" s="367">
        <v>124390356</v>
      </c>
      <c r="D16" s="356">
        <v>73046389</v>
      </c>
      <c r="E16" s="356">
        <v>4879143</v>
      </c>
      <c r="F16" s="356">
        <v>1400940</v>
      </c>
      <c r="G16" s="356">
        <v>8312005</v>
      </c>
      <c r="H16" s="356">
        <v>87870851</v>
      </c>
      <c r="I16" s="357">
        <f t="shared" si="3"/>
        <v>299899684</v>
      </c>
      <c r="J16" s="356">
        <v>302653944</v>
      </c>
      <c r="K16" s="356" t="s">
        <v>50</v>
      </c>
      <c r="L16" s="357">
        <f t="shared" si="4"/>
        <v>302653944</v>
      </c>
      <c r="M16" s="385">
        <f t="shared" si="5"/>
        <v>602553628</v>
      </c>
    </row>
    <row r="17" spans="1:29" s="255" customFormat="1" ht="20.149999999999999" customHeight="1" outlineLevel="1" x14ac:dyDescent="0.55000000000000004">
      <c r="A17" s="261"/>
      <c r="B17" s="545" t="s">
        <v>21</v>
      </c>
      <c r="C17" s="367">
        <v>25127955</v>
      </c>
      <c r="D17" s="356">
        <v>28195164</v>
      </c>
      <c r="E17" s="356">
        <v>1360816</v>
      </c>
      <c r="F17" s="356" t="s">
        <v>50</v>
      </c>
      <c r="G17" s="356">
        <v>477553</v>
      </c>
      <c r="H17" s="356">
        <v>19251286</v>
      </c>
      <c r="I17" s="357">
        <f t="shared" si="3"/>
        <v>74412774</v>
      </c>
      <c r="J17" s="356" t="s">
        <v>50</v>
      </c>
      <c r="K17" s="356">
        <v>26393990</v>
      </c>
      <c r="L17" s="357">
        <f t="shared" si="4"/>
        <v>26393990</v>
      </c>
      <c r="M17" s="385">
        <f t="shared" si="5"/>
        <v>100806764</v>
      </c>
    </row>
    <row r="18" spans="1:29" s="255" customFormat="1" ht="20.149999999999999" customHeight="1" outlineLevel="1" x14ac:dyDescent="0.55000000000000004">
      <c r="A18" s="261"/>
      <c r="B18" s="545" t="s">
        <v>22</v>
      </c>
      <c r="C18" s="367">
        <v>29127192</v>
      </c>
      <c r="D18" s="356">
        <v>20385394</v>
      </c>
      <c r="E18" s="356">
        <v>4687</v>
      </c>
      <c r="F18" s="356">
        <v>597</v>
      </c>
      <c r="G18" s="356">
        <v>652862</v>
      </c>
      <c r="H18" s="356">
        <v>28735419</v>
      </c>
      <c r="I18" s="357">
        <f t="shared" si="3"/>
        <v>78906151</v>
      </c>
      <c r="J18" s="356" t="s">
        <v>50</v>
      </c>
      <c r="K18" s="356">
        <v>52162</v>
      </c>
      <c r="L18" s="357">
        <f t="shared" si="4"/>
        <v>52162</v>
      </c>
      <c r="M18" s="385">
        <f t="shared" si="5"/>
        <v>78958313</v>
      </c>
    </row>
    <row r="19" spans="1:29" s="255" customFormat="1" ht="20.149999999999999" customHeight="1" outlineLevel="1" x14ac:dyDescent="0.55000000000000004">
      <c r="A19" s="261"/>
      <c r="B19" s="545" t="s">
        <v>23</v>
      </c>
      <c r="C19" s="367">
        <v>11030257</v>
      </c>
      <c r="D19" s="356">
        <v>14538665</v>
      </c>
      <c r="E19" s="356">
        <v>80197</v>
      </c>
      <c r="F19" s="356" t="s">
        <v>50</v>
      </c>
      <c r="G19" s="356">
        <v>151615</v>
      </c>
      <c r="H19" s="356">
        <v>6440341</v>
      </c>
      <c r="I19" s="357">
        <f t="shared" si="3"/>
        <v>32241075</v>
      </c>
      <c r="J19" s="356">
        <v>1888776</v>
      </c>
      <c r="K19" s="356">
        <v>3962863</v>
      </c>
      <c r="L19" s="357">
        <f t="shared" si="4"/>
        <v>5851639</v>
      </c>
      <c r="M19" s="385">
        <f t="shared" si="5"/>
        <v>38092714</v>
      </c>
    </row>
    <row r="20" spans="1:29" s="255" customFormat="1" ht="20.149999999999999" customHeight="1" outlineLevel="1" x14ac:dyDescent="0.55000000000000004">
      <c r="A20" s="261"/>
      <c r="B20" s="545" t="s">
        <v>24</v>
      </c>
      <c r="C20" s="367">
        <v>13309368</v>
      </c>
      <c r="D20" s="356">
        <v>9584766</v>
      </c>
      <c r="E20" s="356">
        <v>476861</v>
      </c>
      <c r="F20" s="356" t="s">
        <v>50</v>
      </c>
      <c r="G20" s="356">
        <v>202510</v>
      </c>
      <c r="H20" s="356">
        <v>9328010</v>
      </c>
      <c r="I20" s="357">
        <f t="shared" si="3"/>
        <v>32901515</v>
      </c>
      <c r="J20" s="356" t="s">
        <v>50</v>
      </c>
      <c r="K20" s="356" t="s">
        <v>50</v>
      </c>
      <c r="L20" s="357">
        <f t="shared" si="4"/>
        <v>0</v>
      </c>
      <c r="M20" s="385">
        <f t="shared" si="5"/>
        <v>32901515</v>
      </c>
    </row>
    <row r="21" spans="1:29" s="255" customFormat="1" ht="20.149999999999999" customHeight="1" outlineLevel="1" x14ac:dyDescent="0.55000000000000004">
      <c r="A21" s="261"/>
      <c r="B21" s="545" t="s">
        <v>25</v>
      </c>
      <c r="C21" s="367">
        <v>12181595</v>
      </c>
      <c r="D21" s="356">
        <v>4618153</v>
      </c>
      <c r="E21" s="356">
        <v>159226</v>
      </c>
      <c r="F21" s="356">
        <v>65</v>
      </c>
      <c r="G21" s="356">
        <v>91889</v>
      </c>
      <c r="H21" s="356">
        <v>7707288</v>
      </c>
      <c r="I21" s="357">
        <f t="shared" si="3"/>
        <v>24758216</v>
      </c>
      <c r="J21" s="356" t="s">
        <v>50</v>
      </c>
      <c r="K21" s="356" t="s">
        <v>50</v>
      </c>
      <c r="L21" s="357">
        <f t="shared" si="4"/>
        <v>0</v>
      </c>
      <c r="M21" s="385">
        <f t="shared" si="5"/>
        <v>24758216</v>
      </c>
    </row>
    <row r="22" spans="1:29" s="255" customFormat="1" ht="20.149999999999999" customHeight="1" outlineLevel="1" x14ac:dyDescent="0.55000000000000004">
      <c r="A22" s="261"/>
      <c r="B22" s="545" t="s">
        <v>26</v>
      </c>
      <c r="C22" s="367">
        <v>61967309</v>
      </c>
      <c r="D22" s="356">
        <v>144959832</v>
      </c>
      <c r="E22" s="356">
        <v>24860</v>
      </c>
      <c r="F22" s="356">
        <v>4227</v>
      </c>
      <c r="G22" s="356">
        <v>987397</v>
      </c>
      <c r="H22" s="356">
        <v>38204589</v>
      </c>
      <c r="I22" s="357">
        <f t="shared" si="3"/>
        <v>246148214</v>
      </c>
      <c r="J22" s="356" t="s">
        <v>50</v>
      </c>
      <c r="K22" s="356" t="s">
        <v>50</v>
      </c>
      <c r="L22" s="357">
        <f t="shared" si="4"/>
        <v>0</v>
      </c>
      <c r="M22" s="385">
        <f t="shared" si="5"/>
        <v>246148214</v>
      </c>
    </row>
    <row r="23" spans="1:29" s="255" customFormat="1" ht="20.149999999999999" customHeight="1" x14ac:dyDescent="0.55000000000000004">
      <c r="A23" s="21"/>
      <c r="B23" s="353" t="s">
        <v>1110</v>
      </c>
      <c r="C23" s="387">
        <f>SUM(C25:C33)</f>
        <v>340677597</v>
      </c>
      <c r="D23" s="387">
        <f t="shared" ref="D23:K23" si="6">SUM(D25:D33)</f>
        <v>457185062</v>
      </c>
      <c r="E23" s="387">
        <f t="shared" si="6"/>
        <v>97392035</v>
      </c>
      <c r="F23" s="387">
        <f t="shared" si="6"/>
        <v>1459781</v>
      </c>
      <c r="G23" s="387">
        <f t="shared" si="6"/>
        <v>12547493</v>
      </c>
      <c r="H23" s="387">
        <f t="shared" si="6"/>
        <v>231998707</v>
      </c>
      <c r="I23" s="532">
        <f t="shared" ref="I23:I33" si="7">SUM(C23:H23)</f>
        <v>1141260675</v>
      </c>
      <c r="J23" s="387">
        <f t="shared" si="6"/>
        <v>306128687</v>
      </c>
      <c r="K23" s="387">
        <f t="shared" si="6"/>
        <v>30826824</v>
      </c>
      <c r="L23" s="532">
        <f>SUM(J23:K23)</f>
        <v>336955511</v>
      </c>
      <c r="M23" s="384">
        <f>I23+L23</f>
        <v>1478216186</v>
      </c>
      <c r="N23" s="40"/>
      <c r="O23" s="40"/>
      <c r="P23" s="40"/>
      <c r="Q23" s="40"/>
      <c r="R23" s="40"/>
      <c r="S23" s="40"/>
      <c r="T23" s="40"/>
      <c r="U23" s="40"/>
      <c r="V23" s="40"/>
      <c r="W23" s="40"/>
      <c r="X23" s="40"/>
      <c r="Y23" s="40"/>
      <c r="Z23" s="40"/>
      <c r="AA23" s="40"/>
      <c r="AB23" s="40"/>
      <c r="AC23" s="40"/>
    </row>
    <row r="24" spans="1:29" ht="20.149999999999999" customHeight="1" x14ac:dyDescent="0.3">
      <c r="A24" s="2"/>
      <c r="B24" s="548" t="s">
        <v>1101</v>
      </c>
      <c r="C24" s="543"/>
      <c r="D24" s="543"/>
      <c r="E24" s="543"/>
      <c r="F24" s="543"/>
      <c r="G24" s="543"/>
      <c r="H24" s="543"/>
      <c r="I24" s="543"/>
      <c r="J24" s="543"/>
      <c r="K24" s="543"/>
      <c r="L24" s="543"/>
      <c r="M24" s="543"/>
    </row>
    <row r="25" spans="1:29" s="255" customFormat="1" ht="20.149999999999999" hidden="1" customHeight="1" outlineLevel="1" x14ac:dyDescent="0.55000000000000004">
      <c r="A25" s="34"/>
      <c r="B25" s="544" t="s">
        <v>18</v>
      </c>
      <c r="C25" s="579">
        <v>40299601</v>
      </c>
      <c r="D25" s="363">
        <v>74694626</v>
      </c>
      <c r="E25" s="363">
        <v>514366</v>
      </c>
      <c r="F25" s="363"/>
      <c r="G25" s="363">
        <v>1809155</v>
      </c>
      <c r="H25" s="363">
        <v>17543408</v>
      </c>
      <c r="I25" s="364">
        <f t="shared" si="7"/>
        <v>134861156</v>
      </c>
      <c r="J25" s="363"/>
      <c r="K25" s="363"/>
      <c r="L25" s="364">
        <f>SUM(J25:K25)</f>
        <v>0</v>
      </c>
      <c r="M25" s="390">
        <f>I25+L25</f>
        <v>134861156</v>
      </c>
    </row>
    <row r="26" spans="1:29" s="255" customFormat="1" ht="20.149999999999999" hidden="1" customHeight="1" outlineLevel="1" x14ac:dyDescent="0.55000000000000004">
      <c r="A26" s="34"/>
      <c r="B26" s="545" t="s">
        <v>19</v>
      </c>
      <c r="C26" s="579">
        <v>28393778</v>
      </c>
      <c r="D26" s="363">
        <v>86680464</v>
      </c>
      <c r="E26" s="363">
        <v>81911537</v>
      </c>
      <c r="F26" s="363"/>
      <c r="G26" s="363">
        <v>817580</v>
      </c>
      <c r="H26" s="363">
        <v>8210833</v>
      </c>
      <c r="I26" s="364">
        <f t="shared" si="7"/>
        <v>206014192</v>
      </c>
      <c r="J26" s="363"/>
      <c r="K26" s="363"/>
      <c r="L26" s="364">
        <f t="shared" ref="L26:L33" si="8">SUM(J26:K26)</f>
        <v>0</v>
      </c>
      <c r="M26" s="390">
        <f t="shared" ref="M26:M33" si="9">I26+L26</f>
        <v>206014192</v>
      </c>
    </row>
    <row r="27" spans="1:29" s="255" customFormat="1" ht="20.149999999999999" hidden="1" customHeight="1" outlineLevel="1" x14ac:dyDescent="0.55000000000000004">
      <c r="A27" s="261"/>
      <c r="B27" s="545" t="s">
        <v>20</v>
      </c>
      <c r="C27" s="579">
        <v>119735194</v>
      </c>
      <c r="D27" s="363">
        <v>69189968</v>
      </c>
      <c r="E27" s="363">
        <v>12496156</v>
      </c>
      <c r="F27" s="363">
        <v>1458265</v>
      </c>
      <c r="G27" s="363">
        <v>7254519</v>
      </c>
      <c r="H27" s="363">
        <v>104125241</v>
      </c>
      <c r="I27" s="364">
        <f t="shared" si="7"/>
        <v>314259343</v>
      </c>
      <c r="J27" s="363">
        <v>303989561</v>
      </c>
      <c r="K27" s="363"/>
      <c r="L27" s="364">
        <f t="shared" si="8"/>
        <v>303989561</v>
      </c>
      <c r="M27" s="390">
        <f t="shared" si="9"/>
        <v>618248904</v>
      </c>
    </row>
    <row r="28" spans="1:29" s="255" customFormat="1" ht="20.149999999999999" hidden="1" customHeight="1" outlineLevel="1" x14ac:dyDescent="0.55000000000000004">
      <c r="A28" s="261"/>
      <c r="B28" s="545" t="s">
        <v>21</v>
      </c>
      <c r="C28" s="579">
        <v>23781688</v>
      </c>
      <c r="D28" s="363">
        <v>28371986</v>
      </c>
      <c r="E28" s="363">
        <v>1610841</v>
      </c>
      <c r="F28" s="363"/>
      <c r="G28" s="363">
        <v>474302</v>
      </c>
      <c r="H28" s="363">
        <v>19265363</v>
      </c>
      <c r="I28" s="364">
        <f t="shared" si="7"/>
        <v>73504180</v>
      </c>
      <c r="J28" s="363"/>
      <c r="K28" s="363">
        <v>27022661</v>
      </c>
      <c r="L28" s="364">
        <f t="shared" si="8"/>
        <v>27022661</v>
      </c>
      <c r="M28" s="390">
        <f t="shared" si="9"/>
        <v>100526841</v>
      </c>
    </row>
    <row r="29" spans="1:29" s="255" customFormat="1" ht="20.149999999999999" hidden="1" customHeight="1" outlineLevel="1" x14ac:dyDescent="0.55000000000000004">
      <c r="A29" s="261"/>
      <c r="B29" s="545" t="s">
        <v>22</v>
      </c>
      <c r="C29" s="579">
        <v>28599067</v>
      </c>
      <c r="D29" s="363">
        <v>19292171</v>
      </c>
      <c r="E29" s="363">
        <v>8409</v>
      </c>
      <c r="F29" s="363"/>
      <c r="G29" s="363">
        <v>708090</v>
      </c>
      <c r="H29" s="363">
        <v>20521908</v>
      </c>
      <c r="I29" s="364">
        <f t="shared" si="7"/>
        <v>69129645</v>
      </c>
      <c r="J29" s="363"/>
      <c r="K29" s="363">
        <v>53962</v>
      </c>
      <c r="L29" s="364">
        <f t="shared" si="8"/>
        <v>53962</v>
      </c>
      <c r="M29" s="390">
        <f t="shared" si="9"/>
        <v>69183607</v>
      </c>
    </row>
    <row r="30" spans="1:29" s="255" customFormat="1" ht="20.149999999999999" hidden="1" customHeight="1" outlineLevel="1" x14ac:dyDescent="0.55000000000000004">
      <c r="A30" s="261"/>
      <c r="B30" s="545" t="s">
        <v>23</v>
      </c>
      <c r="C30" s="579">
        <v>9759565</v>
      </c>
      <c r="D30" s="363">
        <v>14532987</v>
      </c>
      <c r="E30" s="363">
        <v>108078</v>
      </c>
      <c r="F30" s="363"/>
      <c r="G30" s="363">
        <v>140792</v>
      </c>
      <c r="H30" s="363">
        <v>6332618</v>
      </c>
      <c r="I30" s="364">
        <f t="shared" si="7"/>
        <v>30874040</v>
      </c>
      <c r="J30" s="363">
        <v>2139126</v>
      </c>
      <c r="K30" s="363">
        <v>3750201</v>
      </c>
      <c r="L30" s="364">
        <f t="shared" si="8"/>
        <v>5889327</v>
      </c>
      <c r="M30" s="390">
        <f t="shared" si="9"/>
        <v>36763367</v>
      </c>
    </row>
    <row r="31" spans="1:29" s="255" customFormat="1" ht="20.149999999999999" hidden="1" customHeight="1" outlineLevel="1" x14ac:dyDescent="0.55000000000000004">
      <c r="A31" s="261"/>
      <c r="B31" s="545" t="s">
        <v>24</v>
      </c>
      <c r="C31" s="579">
        <v>11230558</v>
      </c>
      <c r="D31" s="363">
        <v>9450291</v>
      </c>
      <c r="E31" s="363">
        <v>545546</v>
      </c>
      <c r="F31" s="363"/>
      <c r="G31" s="363">
        <v>161122</v>
      </c>
      <c r="H31" s="363">
        <v>8507017</v>
      </c>
      <c r="I31" s="364">
        <f t="shared" si="7"/>
        <v>29894534</v>
      </c>
      <c r="J31" s="363"/>
      <c r="K31" s="363"/>
      <c r="L31" s="364">
        <f t="shared" si="8"/>
        <v>0</v>
      </c>
      <c r="M31" s="390">
        <f t="shared" si="9"/>
        <v>29894534</v>
      </c>
    </row>
    <row r="32" spans="1:29" s="255" customFormat="1" ht="20.149999999999999" hidden="1" customHeight="1" outlineLevel="1" x14ac:dyDescent="0.55000000000000004">
      <c r="A32" s="261"/>
      <c r="B32" s="545" t="s">
        <v>25</v>
      </c>
      <c r="C32" s="579">
        <v>12690012</v>
      </c>
      <c r="D32" s="363">
        <v>5055095</v>
      </c>
      <c r="E32" s="363">
        <v>174015</v>
      </c>
      <c r="F32" s="363">
        <v>95</v>
      </c>
      <c r="G32" s="363">
        <v>29642</v>
      </c>
      <c r="H32" s="363">
        <v>7266001</v>
      </c>
      <c r="I32" s="364">
        <f t="shared" si="7"/>
        <v>25214860</v>
      </c>
      <c r="J32" s="363"/>
      <c r="K32" s="363"/>
      <c r="L32" s="364">
        <f t="shared" si="8"/>
        <v>0</v>
      </c>
      <c r="M32" s="390">
        <f t="shared" si="9"/>
        <v>25214860</v>
      </c>
    </row>
    <row r="33" spans="1:29" s="255" customFormat="1" ht="20.149999999999999" hidden="1" customHeight="1" outlineLevel="1" x14ac:dyDescent="0.55000000000000004">
      <c r="A33" s="261"/>
      <c r="B33" s="545" t="s">
        <v>26</v>
      </c>
      <c r="C33" s="579">
        <v>66188134</v>
      </c>
      <c r="D33" s="363">
        <v>149917474</v>
      </c>
      <c r="E33" s="363">
        <v>23087</v>
      </c>
      <c r="F33" s="363">
        <v>1421</v>
      </c>
      <c r="G33" s="363">
        <v>1152291</v>
      </c>
      <c r="H33" s="363">
        <v>40226318</v>
      </c>
      <c r="I33" s="364">
        <f t="shared" si="7"/>
        <v>257508725</v>
      </c>
      <c r="J33" s="363"/>
      <c r="K33" s="363"/>
      <c r="L33" s="364">
        <f t="shared" si="8"/>
        <v>0</v>
      </c>
      <c r="M33" s="390">
        <f t="shared" si="9"/>
        <v>257508725</v>
      </c>
    </row>
    <row r="34" spans="1:29" s="255" customFormat="1" ht="20.149999999999999" customHeight="1" collapsed="1" x14ac:dyDescent="0.55000000000000004">
      <c r="A34" s="21"/>
      <c r="B34" s="531" t="s">
        <v>1078</v>
      </c>
      <c r="C34" s="387">
        <v>334236564</v>
      </c>
      <c r="D34" s="366">
        <v>431479595</v>
      </c>
      <c r="E34" s="366">
        <v>17287567</v>
      </c>
      <c r="F34" s="366">
        <v>752746</v>
      </c>
      <c r="G34" s="366">
        <v>12058472</v>
      </c>
      <c r="H34" s="366">
        <v>258218334</v>
      </c>
      <c r="I34" s="532">
        <f t="shared" ref="I34:I79" si="10">SUM(C34:H34)</f>
        <v>1054033278</v>
      </c>
      <c r="J34" s="387">
        <v>301253401</v>
      </c>
      <c r="K34" s="366">
        <v>31374113</v>
      </c>
      <c r="L34" s="532">
        <f>SUM(J34:K34)</f>
        <v>332627514</v>
      </c>
      <c r="M34" s="384">
        <f>I34+L34</f>
        <v>1386660792</v>
      </c>
      <c r="N34" s="40"/>
      <c r="O34" s="40"/>
      <c r="P34" s="40"/>
      <c r="Q34" s="40"/>
      <c r="R34" s="40"/>
      <c r="S34" s="40"/>
      <c r="T34" s="40"/>
      <c r="U34" s="40"/>
      <c r="V34" s="40"/>
      <c r="W34" s="40"/>
      <c r="X34" s="40"/>
      <c r="Y34" s="40"/>
      <c r="Z34" s="40"/>
      <c r="AA34" s="40"/>
      <c r="AB34" s="40"/>
      <c r="AC34" s="40"/>
    </row>
    <row r="35" spans="1:29" ht="20.149999999999999" customHeight="1" x14ac:dyDescent="0.3">
      <c r="A35" s="2"/>
      <c r="B35" s="548" t="s">
        <v>1101</v>
      </c>
      <c r="C35" s="543"/>
      <c r="D35" s="543"/>
      <c r="E35" s="543"/>
      <c r="F35" s="543"/>
      <c r="G35" s="543"/>
      <c r="H35" s="543"/>
      <c r="I35" s="543"/>
      <c r="J35" s="543"/>
      <c r="K35" s="543"/>
      <c r="L35" s="543"/>
      <c r="M35" s="543"/>
    </row>
    <row r="36" spans="1:29" s="255" customFormat="1" ht="20.149999999999999" hidden="1" customHeight="1" outlineLevel="1" x14ac:dyDescent="0.55000000000000004">
      <c r="A36" s="34"/>
      <c r="B36" s="544" t="s">
        <v>18</v>
      </c>
      <c r="C36" s="387">
        <v>39740377</v>
      </c>
      <c r="D36" s="366">
        <v>78001574</v>
      </c>
      <c r="E36" s="366">
        <v>590248</v>
      </c>
      <c r="F36" s="366">
        <v>2617</v>
      </c>
      <c r="G36" s="366">
        <v>1668572</v>
      </c>
      <c r="H36" s="366">
        <v>16754521</v>
      </c>
      <c r="I36" s="532">
        <f t="shared" ref="I36:I44" si="11">SUM(C36:H36)</f>
        <v>136757909</v>
      </c>
      <c r="J36" s="387">
        <v>0</v>
      </c>
      <c r="K36" s="366">
        <v>0</v>
      </c>
      <c r="L36" s="532">
        <f t="shared" ref="L36:L44" si="12">SUM(J36:K36)</f>
        <v>0</v>
      </c>
      <c r="M36" s="384">
        <f t="shared" ref="M36:M44" si="13">I36+L36</f>
        <v>136757909</v>
      </c>
    </row>
    <row r="37" spans="1:29" s="255" customFormat="1" ht="20.149999999999999" hidden="1" customHeight="1" outlineLevel="1" x14ac:dyDescent="0.55000000000000004">
      <c r="A37" s="34"/>
      <c r="B37" s="545" t="s">
        <v>19</v>
      </c>
      <c r="C37" s="387">
        <v>29148269</v>
      </c>
      <c r="D37" s="366">
        <v>63988465</v>
      </c>
      <c r="E37" s="366">
        <v>113844</v>
      </c>
      <c r="F37" s="366">
        <v>0</v>
      </c>
      <c r="G37" s="366">
        <v>930324</v>
      </c>
      <c r="H37" s="366">
        <v>8386056</v>
      </c>
      <c r="I37" s="532">
        <f t="shared" si="11"/>
        <v>102566958</v>
      </c>
      <c r="J37" s="387">
        <v>0</v>
      </c>
      <c r="K37" s="366">
        <v>0</v>
      </c>
      <c r="L37" s="532">
        <f t="shared" si="12"/>
        <v>0</v>
      </c>
      <c r="M37" s="384">
        <f t="shared" si="13"/>
        <v>102566958</v>
      </c>
    </row>
    <row r="38" spans="1:29" s="255" customFormat="1" ht="20.149999999999999" hidden="1" customHeight="1" outlineLevel="1" x14ac:dyDescent="0.55000000000000004">
      <c r="A38" s="261"/>
      <c r="B38" s="545" t="s">
        <v>20</v>
      </c>
      <c r="C38" s="387">
        <v>114530515</v>
      </c>
      <c r="D38" s="366">
        <v>67450881</v>
      </c>
      <c r="E38" s="366">
        <v>14218085</v>
      </c>
      <c r="F38" s="366">
        <v>748115</v>
      </c>
      <c r="G38" s="366">
        <v>6722214</v>
      </c>
      <c r="H38" s="366">
        <v>130792709</v>
      </c>
      <c r="I38" s="532">
        <f t="shared" si="11"/>
        <v>334462519</v>
      </c>
      <c r="J38" s="387">
        <v>298908772</v>
      </c>
      <c r="K38" s="366">
        <v>0</v>
      </c>
      <c r="L38" s="532">
        <f t="shared" si="12"/>
        <v>298908772</v>
      </c>
      <c r="M38" s="384">
        <f t="shared" si="13"/>
        <v>633371291</v>
      </c>
    </row>
    <row r="39" spans="1:29" s="255" customFormat="1" ht="20.149999999999999" hidden="1" customHeight="1" outlineLevel="1" x14ac:dyDescent="0.55000000000000004">
      <c r="A39" s="261"/>
      <c r="B39" s="545" t="s">
        <v>21</v>
      </c>
      <c r="C39" s="387">
        <v>22846104</v>
      </c>
      <c r="D39" s="366">
        <v>29293912</v>
      </c>
      <c r="E39" s="366">
        <v>1539408</v>
      </c>
      <c r="F39" s="366">
        <v>0</v>
      </c>
      <c r="G39" s="366">
        <v>489470</v>
      </c>
      <c r="H39" s="366">
        <v>18737041</v>
      </c>
      <c r="I39" s="532">
        <f t="shared" si="11"/>
        <v>72905935</v>
      </c>
      <c r="J39" s="387">
        <v>0</v>
      </c>
      <c r="K39" s="366">
        <v>27697037</v>
      </c>
      <c r="L39" s="532">
        <f t="shared" si="12"/>
        <v>27697037</v>
      </c>
      <c r="M39" s="384">
        <f t="shared" si="13"/>
        <v>100602972</v>
      </c>
    </row>
    <row r="40" spans="1:29" s="255" customFormat="1" ht="20.149999999999999" hidden="1" customHeight="1" outlineLevel="1" x14ac:dyDescent="0.55000000000000004">
      <c r="A40" s="261"/>
      <c r="B40" s="545" t="s">
        <v>22</v>
      </c>
      <c r="C40" s="387">
        <v>28960039</v>
      </c>
      <c r="D40" s="366">
        <v>20070429</v>
      </c>
      <c r="E40" s="366">
        <v>69</v>
      </c>
      <c r="F40" s="366">
        <v>0</v>
      </c>
      <c r="G40" s="366">
        <v>640496</v>
      </c>
      <c r="H40" s="366">
        <v>23022394</v>
      </c>
      <c r="I40" s="532">
        <f t="shared" si="11"/>
        <v>72693427</v>
      </c>
      <c r="J40" s="387">
        <v>0</v>
      </c>
      <c r="K40" s="366">
        <v>57030</v>
      </c>
      <c r="L40" s="532">
        <f t="shared" si="12"/>
        <v>57030</v>
      </c>
      <c r="M40" s="384">
        <f t="shared" si="13"/>
        <v>72750457</v>
      </c>
    </row>
    <row r="41" spans="1:29" s="255" customFormat="1" ht="20.149999999999999" hidden="1" customHeight="1" outlineLevel="1" x14ac:dyDescent="0.55000000000000004">
      <c r="A41" s="261"/>
      <c r="B41" s="545" t="s">
        <v>23</v>
      </c>
      <c r="C41" s="387">
        <v>8682348</v>
      </c>
      <c r="D41" s="366">
        <v>13837135</v>
      </c>
      <c r="E41" s="366">
        <v>149845</v>
      </c>
      <c r="F41" s="366">
        <v>0</v>
      </c>
      <c r="G41" s="366">
        <v>243823</v>
      </c>
      <c r="H41" s="366">
        <v>6223257</v>
      </c>
      <c r="I41" s="532">
        <f t="shared" si="11"/>
        <v>29136408</v>
      </c>
      <c r="J41" s="387">
        <v>2344628</v>
      </c>
      <c r="K41" s="366">
        <v>3620046</v>
      </c>
      <c r="L41" s="532">
        <f t="shared" si="12"/>
        <v>5964674</v>
      </c>
      <c r="M41" s="384">
        <f t="shared" si="13"/>
        <v>35101082</v>
      </c>
    </row>
    <row r="42" spans="1:29" s="255" customFormat="1" ht="20.149999999999999" hidden="1" customHeight="1" outlineLevel="1" x14ac:dyDescent="0.55000000000000004">
      <c r="A42" s="261"/>
      <c r="B42" s="545" t="s">
        <v>24</v>
      </c>
      <c r="C42" s="387">
        <v>11347826</v>
      </c>
      <c r="D42" s="366">
        <v>9658989</v>
      </c>
      <c r="E42" s="366">
        <v>512559</v>
      </c>
      <c r="F42" s="366">
        <v>0</v>
      </c>
      <c r="G42" s="366">
        <v>152189</v>
      </c>
      <c r="H42" s="366">
        <v>8346680</v>
      </c>
      <c r="I42" s="532">
        <f t="shared" si="11"/>
        <v>30018243</v>
      </c>
      <c r="J42" s="387">
        <v>0</v>
      </c>
      <c r="K42" s="366">
        <v>0</v>
      </c>
      <c r="L42" s="532">
        <f t="shared" si="12"/>
        <v>0</v>
      </c>
      <c r="M42" s="384">
        <f t="shared" si="13"/>
        <v>30018243</v>
      </c>
    </row>
    <row r="43" spans="1:29" s="255" customFormat="1" ht="20.149999999999999" hidden="1" customHeight="1" outlineLevel="1" x14ac:dyDescent="0.55000000000000004">
      <c r="A43" s="261"/>
      <c r="B43" s="545" t="s">
        <v>25</v>
      </c>
      <c r="C43" s="387">
        <v>13643480</v>
      </c>
      <c r="D43" s="366">
        <v>5210501</v>
      </c>
      <c r="E43" s="366">
        <v>135732</v>
      </c>
      <c r="F43" s="366">
        <v>204</v>
      </c>
      <c r="G43" s="366">
        <v>23851</v>
      </c>
      <c r="H43" s="366">
        <v>7630743</v>
      </c>
      <c r="I43" s="532">
        <f t="shared" si="11"/>
        <v>26644511</v>
      </c>
      <c r="J43" s="387">
        <v>0</v>
      </c>
      <c r="K43" s="366">
        <v>0</v>
      </c>
      <c r="L43" s="532">
        <f t="shared" si="12"/>
        <v>0</v>
      </c>
      <c r="M43" s="384">
        <f t="shared" si="13"/>
        <v>26644511</v>
      </c>
    </row>
    <row r="44" spans="1:29" s="255" customFormat="1" ht="20.149999999999999" hidden="1" customHeight="1" outlineLevel="1" x14ac:dyDescent="0.55000000000000004">
      <c r="A44" s="261"/>
      <c r="B44" s="545" t="s">
        <v>26</v>
      </c>
      <c r="C44" s="387">
        <v>65337607</v>
      </c>
      <c r="D44" s="366">
        <v>143967709</v>
      </c>
      <c r="E44" s="366">
        <v>27777</v>
      </c>
      <c r="F44" s="366">
        <v>1809</v>
      </c>
      <c r="G44" s="366">
        <v>1187533</v>
      </c>
      <c r="H44" s="366">
        <v>38324934</v>
      </c>
      <c r="I44" s="532">
        <f t="shared" si="11"/>
        <v>248847369</v>
      </c>
      <c r="J44" s="387">
        <v>0</v>
      </c>
      <c r="K44" s="366">
        <v>0</v>
      </c>
      <c r="L44" s="532">
        <f t="shared" si="12"/>
        <v>0</v>
      </c>
      <c r="M44" s="384">
        <f t="shared" si="13"/>
        <v>248847369</v>
      </c>
    </row>
    <row r="45" spans="1:29" s="255" customFormat="1" ht="20.149999999999999" customHeight="1" collapsed="1" x14ac:dyDescent="0.55000000000000004">
      <c r="A45" s="21"/>
      <c r="B45" s="531" t="s">
        <v>1079</v>
      </c>
      <c r="C45" s="387">
        <v>311327640</v>
      </c>
      <c r="D45" s="366">
        <v>430395692</v>
      </c>
      <c r="E45" s="366">
        <v>9754144</v>
      </c>
      <c r="F45" s="366">
        <v>775700</v>
      </c>
      <c r="G45" s="366">
        <v>11789778</v>
      </c>
      <c r="H45" s="366">
        <v>188030399</v>
      </c>
      <c r="I45" s="532">
        <f t="shared" si="10"/>
        <v>952073353</v>
      </c>
      <c r="J45" s="387">
        <v>302185041</v>
      </c>
      <c r="K45" s="366">
        <v>31961857</v>
      </c>
      <c r="L45" s="532">
        <f>SUM(J45:K45)</f>
        <v>334146898</v>
      </c>
      <c r="M45" s="384">
        <f>I45+L45</f>
        <v>1286220251</v>
      </c>
      <c r="N45" s="40"/>
      <c r="O45" s="40"/>
      <c r="P45" s="40"/>
      <c r="Q45" s="40"/>
      <c r="R45" s="40"/>
      <c r="S45" s="40"/>
      <c r="T45" s="40"/>
      <c r="U45" s="40"/>
      <c r="V45" s="40"/>
      <c r="W45" s="40"/>
      <c r="X45" s="40"/>
      <c r="Y45" s="40"/>
      <c r="Z45" s="40"/>
      <c r="AA45" s="40"/>
      <c r="AB45" s="40"/>
      <c r="AC45" s="40"/>
    </row>
    <row r="46" spans="1:29" ht="20.149999999999999" customHeight="1" x14ac:dyDescent="0.3">
      <c r="A46" s="2"/>
      <c r="B46" s="548" t="s">
        <v>1101</v>
      </c>
      <c r="C46" s="543"/>
      <c r="D46" s="543"/>
      <c r="E46" s="543"/>
      <c r="F46" s="543"/>
      <c r="G46" s="543"/>
      <c r="H46" s="543"/>
      <c r="I46" s="543"/>
      <c r="J46" s="543"/>
      <c r="K46" s="543"/>
      <c r="L46" s="543"/>
      <c r="M46" s="543"/>
    </row>
    <row r="47" spans="1:29" s="255" customFormat="1" ht="20.149999999999999" hidden="1" customHeight="1" outlineLevel="1" x14ac:dyDescent="0.55000000000000004">
      <c r="A47" s="34"/>
      <c r="B47" s="544" t="s">
        <v>18</v>
      </c>
      <c r="C47" s="387">
        <v>40161655</v>
      </c>
      <c r="D47" s="366">
        <v>78330504</v>
      </c>
      <c r="E47" s="366">
        <v>660165</v>
      </c>
      <c r="F47" s="366">
        <v>0</v>
      </c>
      <c r="G47" s="366">
        <v>1812709</v>
      </c>
      <c r="H47" s="366">
        <v>18253766</v>
      </c>
      <c r="I47" s="532">
        <f t="shared" ref="I47:I55" si="14">SUM(C47:H47)</f>
        <v>139218799</v>
      </c>
      <c r="J47" s="387">
        <v>0</v>
      </c>
      <c r="K47" s="366">
        <v>0</v>
      </c>
      <c r="L47" s="532">
        <f t="shared" ref="L47:L55" si="15">SUM(J47:K47)</f>
        <v>0</v>
      </c>
      <c r="M47" s="384">
        <f t="shared" ref="M47:M55" si="16">I47+L47</f>
        <v>139218799</v>
      </c>
    </row>
    <row r="48" spans="1:29" s="255" customFormat="1" ht="20.149999999999999" hidden="1" customHeight="1" outlineLevel="1" x14ac:dyDescent="0.55000000000000004">
      <c r="A48" s="34"/>
      <c r="B48" s="545" t="s">
        <v>19</v>
      </c>
      <c r="C48" s="387">
        <v>28605803</v>
      </c>
      <c r="D48" s="366">
        <v>65976318</v>
      </c>
      <c r="E48" s="366">
        <v>147078</v>
      </c>
      <c r="F48" s="366">
        <v>0</v>
      </c>
      <c r="G48" s="366">
        <v>1054532</v>
      </c>
      <c r="H48" s="366">
        <v>8221742</v>
      </c>
      <c r="I48" s="532">
        <f t="shared" si="14"/>
        <v>104005473</v>
      </c>
      <c r="J48" s="387">
        <v>0</v>
      </c>
      <c r="K48" s="366">
        <v>0</v>
      </c>
      <c r="L48" s="532">
        <f t="shared" si="15"/>
        <v>0</v>
      </c>
      <c r="M48" s="384">
        <f t="shared" si="16"/>
        <v>104005473</v>
      </c>
    </row>
    <row r="49" spans="1:29" s="255" customFormat="1" ht="20.149999999999999" hidden="1" customHeight="1" outlineLevel="1" x14ac:dyDescent="0.55000000000000004">
      <c r="A49" s="261"/>
      <c r="B49" s="545" t="s">
        <v>20</v>
      </c>
      <c r="C49" s="387">
        <v>106378020</v>
      </c>
      <c r="D49" s="366">
        <v>66884205</v>
      </c>
      <c r="E49" s="366">
        <v>6813160</v>
      </c>
      <c r="F49" s="366">
        <v>772453</v>
      </c>
      <c r="G49" s="366">
        <v>6455914</v>
      </c>
      <c r="H49" s="366">
        <v>62554870</v>
      </c>
      <c r="I49" s="532">
        <f t="shared" si="14"/>
        <v>249858622</v>
      </c>
      <c r="J49" s="387">
        <v>300023296</v>
      </c>
      <c r="K49" s="366">
        <v>0</v>
      </c>
      <c r="L49" s="532">
        <f t="shared" si="15"/>
        <v>300023296</v>
      </c>
      <c r="M49" s="384">
        <f t="shared" si="16"/>
        <v>549881918</v>
      </c>
    </row>
    <row r="50" spans="1:29" s="255" customFormat="1" ht="20.149999999999999" hidden="1" customHeight="1" outlineLevel="1" x14ac:dyDescent="0.55000000000000004">
      <c r="A50" s="261"/>
      <c r="B50" s="545" t="s">
        <v>21</v>
      </c>
      <c r="C50" s="387">
        <v>21621985</v>
      </c>
      <c r="D50" s="366">
        <v>29795981</v>
      </c>
      <c r="E50" s="366">
        <v>1327056</v>
      </c>
      <c r="F50" s="366">
        <v>0</v>
      </c>
      <c r="G50" s="366">
        <v>477012</v>
      </c>
      <c r="H50" s="366">
        <v>16842637</v>
      </c>
      <c r="I50" s="532">
        <f t="shared" si="14"/>
        <v>70064671</v>
      </c>
      <c r="J50" s="387">
        <v>0</v>
      </c>
      <c r="K50" s="366">
        <v>28289344</v>
      </c>
      <c r="L50" s="532">
        <f t="shared" si="15"/>
        <v>28289344</v>
      </c>
      <c r="M50" s="384">
        <f t="shared" si="16"/>
        <v>98354015</v>
      </c>
    </row>
    <row r="51" spans="1:29" s="255" customFormat="1" ht="20.149999999999999" hidden="1" customHeight="1" outlineLevel="1" x14ac:dyDescent="0.55000000000000004">
      <c r="A51" s="261"/>
      <c r="B51" s="545" t="s">
        <v>22</v>
      </c>
      <c r="C51" s="387">
        <v>27492175</v>
      </c>
      <c r="D51" s="366">
        <v>17613822</v>
      </c>
      <c r="E51" s="366">
        <v>5497</v>
      </c>
      <c r="F51" s="366">
        <v>0</v>
      </c>
      <c r="G51" s="366">
        <v>617207</v>
      </c>
      <c r="H51" s="366">
        <v>23933693</v>
      </c>
      <c r="I51" s="532">
        <f t="shared" si="14"/>
        <v>69662394</v>
      </c>
      <c r="J51" s="387">
        <v>0</v>
      </c>
      <c r="K51" s="366">
        <v>60060</v>
      </c>
      <c r="L51" s="532">
        <f t="shared" si="15"/>
        <v>60060</v>
      </c>
      <c r="M51" s="384">
        <f t="shared" si="16"/>
        <v>69722454</v>
      </c>
    </row>
    <row r="52" spans="1:29" s="255" customFormat="1" ht="20.149999999999999" hidden="1" customHeight="1" outlineLevel="1" x14ac:dyDescent="0.55000000000000004">
      <c r="A52" s="261"/>
      <c r="B52" s="545" t="s">
        <v>23</v>
      </c>
      <c r="C52" s="387">
        <v>8159546</v>
      </c>
      <c r="D52" s="366">
        <v>13783385</v>
      </c>
      <c r="E52" s="366">
        <v>85750</v>
      </c>
      <c r="F52" s="366">
        <v>0</v>
      </c>
      <c r="G52" s="366">
        <v>231520</v>
      </c>
      <c r="H52" s="366">
        <v>5990338</v>
      </c>
      <c r="I52" s="532">
        <f t="shared" si="14"/>
        <v>28250539</v>
      </c>
      <c r="J52" s="387">
        <v>2161745</v>
      </c>
      <c r="K52" s="366">
        <v>3612454</v>
      </c>
      <c r="L52" s="532">
        <f t="shared" si="15"/>
        <v>5774199</v>
      </c>
      <c r="M52" s="384">
        <f t="shared" si="16"/>
        <v>34024738</v>
      </c>
    </row>
    <row r="53" spans="1:29" s="255" customFormat="1" ht="20.149999999999999" hidden="1" customHeight="1" outlineLevel="1" x14ac:dyDescent="0.55000000000000004">
      <c r="A53" s="261"/>
      <c r="B53" s="545" t="s">
        <v>24</v>
      </c>
      <c r="C53" s="387">
        <v>10788039</v>
      </c>
      <c r="D53" s="366">
        <v>10009593</v>
      </c>
      <c r="E53" s="366">
        <v>587633</v>
      </c>
      <c r="F53" s="366">
        <v>0</v>
      </c>
      <c r="G53" s="366">
        <v>171180</v>
      </c>
      <c r="H53" s="366">
        <v>7765298</v>
      </c>
      <c r="I53" s="532">
        <f t="shared" si="14"/>
        <v>29321743</v>
      </c>
      <c r="J53" s="387">
        <v>0</v>
      </c>
      <c r="K53" s="366">
        <v>0</v>
      </c>
      <c r="L53" s="532">
        <f t="shared" si="15"/>
        <v>0</v>
      </c>
      <c r="M53" s="384">
        <f t="shared" si="16"/>
        <v>29321743</v>
      </c>
    </row>
    <row r="54" spans="1:29" s="255" customFormat="1" ht="20.149999999999999" hidden="1" customHeight="1" outlineLevel="1" x14ac:dyDescent="0.55000000000000004">
      <c r="A54" s="261"/>
      <c r="B54" s="545" t="s">
        <v>25</v>
      </c>
      <c r="C54" s="387">
        <v>12852119</v>
      </c>
      <c r="D54" s="366">
        <v>4630044</v>
      </c>
      <c r="E54" s="366">
        <v>103969</v>
      </c>
      <c r="F54" s="366">
        <v>938</v>
      </c>
      <c r="G54" s="366">
        <v>26741</v>
      </c>
      <c r="H54" s="366">
        <v>6914644</v>
      </c>
      <c r="I54" s="532">
        <f t="shared" si="14"/>
        <v>24528455</v>
      </c>
      <c r="J54" s="387">
        <v>0</v>
      </c>
      <c r="K54" s="366">
        <v>0</v>
      </c>
      <c r="L54" s="532">
        <f t="shared" si="15"/>
        <v>0</v>
      </c>
      <c r="M54" s="384">
        <f t="shared" si="16"/>
        <v>24528455</v>
      </c>
    </row>
    <row r="55" spans="1:29" s="255" customFormat="1" ht="20.149999999999999" hidden="1" customHeight="1" outlineLevel="1" x14ac:dyDescent="0.55000000000000004">
      <c r="A55" s="261"/>
      <c r="B55" s="545" t="s">
        <v>26</v>
      </c>
      <c r="C55" s="387">
        <v>55268297</v>
      </c>
      <c r="D55" s="366">
        <v>143371841</v>
      </c>
      <c r="E55" s="366">
        <v>23835</v>
      </c>
      <c r="F55" s="366">
        <v>2309</v>
      </c>
      <c r="G55" s="366">
        <v>942965</v>
      </c>
      <c r="H55" s="366">
        <v>37553412</v>
      </c>
      <c r="I55" s="532">
        <f t="shared" si="14"/>
        <v>237162659</v>
      </c>
      <c r="J55" s="387">
        <v>0</v>
      </c>
      <c r="K55" s="366">
        <v>0</v>
      </c>
      <c r="L55" s="532">
        <f t="shared" si="15"/>
        <v>0</v>
      </c>
      <c r="M55" s="384">
        <f t="shared" si="16"/>
        <v>237162659</v>
      </c>
    </row>
    <row r="56" spans="1:29" s="255" customFormat="1" ht="20.149999999999999" customHeight="1" collapsed="1" x14ac:dyDescent="0.55000000000000004">
      <c r="A56" s="21"/>
      <c r="B56" s="354" t="s">
        <v>1</v>
      </c>
      <c r="C56" s="355">
        <v>323887336</v>
      </c>
      <c r="D56" s="356">
        <v>441792837</v>
      </c>
      <c r="E56" s="356">
        <v>9591495</v>
      </c>
      <c r="F56" s="356">
        <v>1177868</v>
      </c>
      <c r="G56" s="356">
        <v>13265024</v>
      </c>
      <c r="H56" s="356">
        <v>205669697</v>
      </c>
      <c r="I56" s="357">
        <f t="shared" si="10"/>
        <v>995384257</v>
      </c>
      <c r="J56" s="355">
        <v>287838966</v>
      </c>
      <c r="K56" s="356">
        <v>31907641</v>
      </c>
      <c r="L56" s="357">
        <f>SUM(J56:K56)</f>
        <v>319746607</v>
      </c>
      <c r="M56" s="385">
        <f>I56+L56</f>
        <v>1315130864</v>
      </c>
      <c r="N56" s="40"/>
      <c r="O56" s="40"/>
      <c r="P56" s="40"/>
      <c r="Q56" s="40"/>
      <c r="R56" s="40"/>
      <c r="S56" s="40"/>
      <c r="T56" s="40"/>
      <c r="U56" s="40"/>
      <c r="V56" s="40"/>
      <c r="W56" s="40"/>
      <c r="X56" s="40"/>
      <c r="Y56" s="40"/>
      <c r="Z56" s="40"/>
      <c r="AA56" s="40"/>
      <c r="AB56" s="40"/>
      <c r="AC56" s="40"/>
    </row>
    <row r="57" spans="1:29" ht="20.149999999999999" customHeight="1" x14ac:dyDescent="0.3">
      <c r="A57" s="2"/>
      <c r="B57" s="548" t="s">
        <v>1101</v>
      </c>
      <c r="C57" s="543"/>
      <c r="D57" s="543"/>
      <c r="E57" s="543"/>
      <c r="F57" s="543"/>
      <c r="G57" s="543"/>
      <c r="H57" s="543"/>
      <c r="I57" s="543"/>
      <c r="J57" s="543"/>
      <c r="K57" s="543"/>
      <c r="L57" s="543"/>
      <c r="M57" s="543"/>
    </row>
    <row r="58" spans="1:29" s="255" customFormat="1" ht="20.149999999999999" hidden="1" customHeight="1" outlineLevel="1" x14ac:dyDescent="0.55000000000000004">
      <c r="A58" s="34"/>
      <c r="B58" s="544" t="s">
        <v>18</v>
      </c>
      <c r="C58" s="355">
        <v>38419407</v>
      </c>
      <c r="D58" s="356">
        <v>81763211</v>
      </c>
      <c r="E58" s="356">
        <v>725136</v>
      </c>
      <c r="F58" s="356">
        <v>0</v>
      </c>
      <c r="G58" s="356">
        <v>1835711</v>
      </c>
      <c r="H58" s="356">
        <v>20696765</v>
      </c>
      <c r="I58" s="357">
        <f t="shared" ref="I58:I66" si="17">SUM(C58:H58)</f>
        <v>143440230</v>
      </c>
      <c r="J58" s="355">
        <v>0</v>
      </c>
      <c r="K58" s="356">
        <v>0</v>
      </c>
      <c r="L58" s="357">
        <f t="shared" ref="L58:L66" si="18">SUM(J58:K58)</f>
        <v>0</v>
      </c>
      <c r="M58" s="385">
        <f t="shared" ref="M58:M66" si="19">I58+L58</f>
        <v>143440230</v>
      </c>
    </row>
    <row r="59" spans="1:29" s="255" customFormat="1" ht="20.149999999999999" hidden="1" customHeight="1" outlineLevel="1" x14ac:dyDescent="0.55000000000000004">
      <c r="A59" s="34"/>
      <c r="B59" s="545" t="s">
        <v>19</v>
      </c>
      <c r="C59" s="355">
        <v>29815074</v>
      </c>
      <c r="D59" s="356">
        <v>60430220</v>
      </c>
      <c r="E59" s="356">
        <v>174644</v>
      </c>
      <c r="F59" s="356">
        <v>0</v>
      </c>
      <c r="G59" s="356">
        <v>992718</v>
      </c>
      <c r="H59" s="356">
        <v>8908116</v>
      </c>
      <c r="I59" s="357">
        <f t="shared" si="17"/>
        <v>100320772</v>
      </c>
      <c r="J59" s="355">
        <v>0</v>
      </c>
      <c r="K59" s="356">
        <v>0</v>
      </c>
      <c r="L59" s="357">
        <f t="shared" si="18"/>
        <v>0</v>
      </c>
      <c r="M59" s="385">
        <f t="shared" si="19"/>
        <v>100320772</v>
      </c>
    </row>
    <row r="60" spans="1:29" s="255" customFormat="1" ht="20.149999999999999" hidden="1" customHeight="1" outlineLevel="1" x14ac:dyDescent="0.55000000000000004">
      <c r="A60" s="261"/>
      <c r="B60" s="545" t="s">
        <v>20</v>
      </c>
      <c r="C60" s="355">
        <v>108767603</v>
      </c>
      <c r="D60" s="356">
        <v>68673133</v>
      </c>
      <c r="E60" s="356">
        <v>6285691</v>
      </c>
      <c r="F60" s="356">
        <v>1175032</v>
      </c>
      <c r="G60" s="356">
        <v>6411336</v>
      </c>
      <c r="H60" s="356">
        <v>68585972</v>
      </c>
      <c r="I60" s="357">
        <f t="shared" si="17"/>
        <v>259898767</v>
      </c>
      <c r="J60" s="355">
        <v>285533387</v>
      </c>
      <c r="K60" s="356">
        <v>0</v>
      </c>
      <c r="L60" s="357">
        <f t="shared" si="18"/>
        <v>285533387</v>
      </c>
      <c r="M60" s="385">
        <f t="shared" si="19"/>
        <v>545432154</v>
      </c>
    </row>
    <row r="61" spans="1:29" s="255" customFormat="1" ht="20.149999999999999" hidden="1" customHeight="1" outlineLevel="1" x14ac:dyDescent="0.55000000000000004">
      <c r="A61" s="261"/>
      <c r="B61" s="545" t="s">
        <v>21</v>
      </c>
      <c r="C61" s="355">
        <v>21181612</v>
      </c>
      <c r="D61" s="356">
        <v>35097283</v>
      </c>
      <c r="E61" s="356">
        <v>1516425</v>
      </c>
      <c r="F61" s="356">
        <v>0</v>
      </c>
      <c r="G61" s="356">
        <v>424226</v>
      </c>
      <c r="H61" s="356">
        <v>18301486</v>
      </c>
      <c r="I61" s="357">
        <f t="shared" si="17"/>
        <v>76521032</v>
      </c>
      <c r="J61" s="355">
        <v>0</v>
      </c>
      <c r="K61" s="356">
        <v>28155667</v>
      </c>
      <c r="L61" s="357">
        <f t="shared" si="18"/>
        <v>28155667</v>
      </c>
      <c r="M61" s="385">
        <f t="shared" si="19"/>
        <v>104676699</v>
      </c>
    </row>
    <row r="62" spans="1:29" s="255" customFormat="1" ht="20.149999999999999" hidden="1" customHeight="1" outlineLevel="1" x14ac:dyDescent="0.55000000000000004">
      <c r="A62" s="261"/>
      <c r="B62" s="545" t="s">
        <v>22</v>
      </c>
      <c r="C62" s="355">
        <v>35665021</v>
      </c>
      <c r="D62" s="356">
        <v>21090855</v>
      </c>
      <c r="E62" s="356">
        <v>893</v>
      </c>
      <c r="F62" s="356">
        <v>118</v>
      </c>
      <c r="G62" s="356">
        <v>2135105</v>
      </c>
      <c r="H62" s="356">
        <v>29546858</v>
      </c>
      <c r="I62" s="357">
        <f t="shared" si="17"/>
        <v>88438850</v>
      </c>
      <c r="J62" s="355">
        <v>0</v>
      </c>
      <c r="K62" s="356">
        <v>63311</v>
      </c>
      <c r="L62" s="357">
        <f t="shared" si="18"/>
        <v>63311</v>
      </c>
      <c r="M62" s="385">
        <f t="shared" si="19"/>
        <v>88502161</v>
      </c>
    </row>
    <row r="63" spans="1:29" s="255" customFormat="1" ht="20.149999999999999" hidden="1" customHeight="1" outlineLevel="1" x14ac:dyDescent="0.55000000000000004">
      <c r="A63" s="261"/>
      <c r="B63" s="545" t="s">
        <v>23</v>
      </c>
      <c r="C63" s="355">
        <v>8267590</v>
      </c>
      <c r="D63" s="356">
        <v>14639529</v>
      </c>
      <c r="E63" s="356">
        <v>116997</v>
      </c>
      <c r="F63" s="356">
        <v>0</v>
      </c>
      <c r="G63" s="356">
        <v>264376</v>
      </c>
      <c r="H63" s="356">
        <v>6116601</v>
      </c>
      <c r="I63" s="357">
        <f t="shared" si="17"/>
        <v>29405093</v>
      </c>
      <c r="J63" s="355">
        <v>2305579</v>
      </c>
      <c r="K63" s="356">
        <v>3688663</v>
      </c>
      <c r="L63" s="357">
        <f t="shared" si="18"/>
        <v>5994242</v>
      </c>
      <c r="M63" s="385">
        <f t="shared" si="19"/>
        <v>35399335</v>
      </c>
    </row>
    <row r="64" spans="1:29" s="255" customFormat="1" ht="20.149999999999999" hidden="1" customHeight="1" outlineLevel="1" x14ac:dyDescent="0.55000000000000004">
      <c r="A64" s="261"/>
      <c r="B64" s="545" t="s">
        <v>24</v>
      </c>
      <c r="C64" s="355">
        <v>10952210</v>
      </c>
      <c r="D64" s="356">
        <v>11071234</v>
      </c>
      <c r="E64" s="356">
        <v>611242</v>
      </c>
      <c r="F64" s="356">
        <v>0</v>
      </c>
      <c r="G64" s="356">
        <v>163574</v>
      </c>
      <c r="H64" s="356">
        <v>8035985</v>
      </c>
      <c r="I64" s="357">
        <f t="shared" si="17"/>
        <v>30834245</v>
      </c>
      <c r="J64" s="355">
        <v>0</v>
      </c>
      <c r="K64" s="356">
        <v>0</v>
      </c>
      <c r="L64" s="357">
        <f t="shared" si="18"/>
        <v>0</v>
      </c>
      <c r="M64" s="385">
        <f t="shared" si="19"/>
        <v>30834245</v>
      </c>
    </row>
    <row r="65" spans="1:29" s="255" customFormat="1" ht="20.149999999999999" hidden="1" customHeight="1" outlineLevel="1" x14ac:dyDescent="0.55000000000000004">
      <c r="A65" s="261"/>
      <c r="B65" s="545" t="s">
        <v>25</v>
      </c>
      <c r="C65" s="355">
        <v>13381003</v>
      </c>
      <c r="D65" s="356">
        <v>4334082</v>
      </c>
      <c r="E65" s="356">
        <v>134004</v>
      </c>
      <c r="F65" s="356">
        <v>0</v>
      </c>
      <c r="G65" s="356">
        <v>27330</v>
      </c>
      <c r="H65" s="356">
        <v>7806463</v>
      </c>
      <c r="I65" s="357">
        <f t="shared" si="17"/>
        <v>25682882</v>
      </c>
      <c r="J65" s="355">
        <v>0</v>
      </c>
      <c r="K65" s="356">
        <v>0</v>
      </c>
      <c r="L65" s="357">
        <f t="shared" si="18"/>
        <v>0</v>
      </c>
      <c r="M65" s="385">
        <f t="shared" si="19"/>
        <v>25682882</v>
      </c>
    </row>
    <row r="66" spans="1:29" s="255" customFormat="1" ht="20.149999999999999" hidden="1" customHeight="1" outlineLevel="1" x14ac:dyDescent="0.55000000000000004">
      <c r="A66" s="261"/>
      <c r="B66" s="545" t="s">
        <v>26</v>
      </c>
      <c r="C66" s="355">
        <v>57437818</v>
      </c>
      <c r="D66" s="356">
        <v>144693289</v>
      </c>
      <c r="E66" s="356">
        <v>26462</v>
      </c>
      <c r="F66" s="356">
        <v>2717</v>
      </c>
      <c r="G66" s="356">
        <v>1010648</v>
      </c>
      <c r="H66" s="356">
        <v>37671452</v>
      </c>
      <c r="I66" s="357">
        <f t="shared" si="17"/>
        <v>240842386</v>
      </c>
      <c r="J66" s="355">
        <v>0</v>
      </c>
      <c r="K66" s="356">
        <v>0</v>
      </c>
      <c r="L66" s="357">
        <f t="shared" si="18"/>
        <v>0</v>
      </c>
      <c r="M66" s="385">
        <f t="shared" si="19"/>
        <v>240842386</v>
      </c>
    </row>
    <row r="67" spans="1:29" s="255" customFormat="1" ht="20.149999999999999" customHeight="1" collapsed="1" x14ac:dyDescent="0.55000000000000004">
      <c r="A67" s="21"/>
      <c r="B67" s="354" t="s">
        <v>127</v>
      </c>
      <c r="C67" s="355">
        <v>309926838</v>
      </c>
      <c r="D67" s="356">
        <v>434141983</v>
      </c>
      <c r="E67" s="356">
        <v>10306984</v>
      </c>
      <c r="F67" s="356">
        <v>1968818</v>
      </c>
      <c r="G67" s="356">
        <v>12619307</v>
      </c>
      <c r="H67" s="356">
        <v>205317049</v>
      </c>
      <c r="I67" s="357">
        <f t="shared" si="10"/>
        <v>974280979</v>
      </c>
      <c r="J67" s="355">
        <v>289980310</v>
      </c>
      <c r="K67" s="356">
        <v>30522759</v>
      </c>
      <c r="L67" s="357">
        <f t="shared" ref="L67:L79" si="20">SUM(J67:K67)</f>
        <v>320503069</v>
      </c>
      <c r="M67" s="385">
        <f t="shared" ref="M67:M79" si="21">I67+L67</f>
        <v>1294784048</v>
      </c>
      <c r="N67" s="40"/>
      <c r="O67" s="40"/>
      <c r="P67" s="40"/>
      <c r="Q67" s="40"/>
      <c r="R67" s="40"/>
      <c r="S67" s="40"/>
      <c r="T67" s="40"/>
      <c r="U67" s="40"/>
      <c r="V67" s="40"/>
      <c r="W67" s="40"/>
      <c r="X67" s="40"/>
      <c r="Y67" s="40"/>
      <c r="Z67" s="40"/>
      <c r="AA67" s="40"/>
      <c r="AB67" s="40"/>
      <c r="AC67" s="40"/>
    </row>
    <row r="68" spans="1:29" ht="20.149999999999999" customHeight="1" x14ac:dyDescent="0.3">
      <c r="A68" s="2"/>
      <c r="B68" s="548" t="s">
        <v>1101</v>
      </c>
      <c r="C68" s="543"/>
      <c r="D68" s="543"/>
      <c r="E68" s="543"/>
      <c r="F68" s="543"/>
      <c r="G68" s="543"/>
      <c r="H68" s="543"/>
      <c r="I68" s="543"/>
      <c r="J68" s="543"/>
      <c r="K68" s="543"/>
      <c r="L68" s="543"/>
      <c r="M68" s="543"/>
    </row>
    <row r="69" spans="1:29" s="255" customFormat="1" ht="20.149999999999999" hidden="1" customHeight="1" outlineLevel="1" x14ac:dyDescent="0.55000000000000004">
      <c r="A69" s="34"/>
      <c r="B69" s="544" t="s">
        <v>18</v>
      </c>
      <c r="C69" s="360">
        <v>36495746</v>
      </c>
      <c r="D69" s="361">
        <v>83832017</v>
      </c>
      <c r="E69" s="361">
        <v>888930</v>
      </c>
      <c r="F69" s="361">
        <v>0</v>
      </c>
      <c r="G69" s="361">
        <v>1779722</v>
      </c>
      <c r="H69" s="361">
        <v>17706837</v>
      </c>
      <c r="I69" s="362">
        <f t="shared" ref="I69:I77" si="22">SUM(C69:H69)</f>
        <v>140703252</v>
      </c>
      <c r="J69" s="360">
        <v>0</v>
      </c>
      <c r="K69" s="361">
        <v>0</v>
      </c>
      <c r="L69" s="362">
        <f t="shared" ref="L69:L77" si="23">SUM(J69:K69)</f>
        <v>0</v>
      </c>
      <c r="M69" s="391">
        <f t="shared" ref="M69:M77" si="24">I69+L69</f>
        <v>140703252</v>
      </c>
    </row>
    <row r="70" spans="1:29" s="255" customFormat="1" ht="20.149999999999999" hidden="1" customHeight="1" outlineLevel="1" x14ac:dyDescent="0.55000000000000004">
      <c r="A70" s="34"/>
      <c r="B70" s="545" t="s">
        <v>19</v>
      </c>
      <c r="C70" s="360">
        <v>29411996</v>
      </c>
      <c r="D70" s="361">
        <v>58590309</v>
      </c>
      <c r="E70" s="361">
        <v>220413</v>
      </c>
      <c r="F70" s="361">
        <v>0</v>
      </c>
      <c r="G70" s="361">
        <v>1055430</v>
      </c>
      <c r="H70" s="361">
        <v>8855244</v>
      </c>
      <c r="I70" s="362">
        <f t="shared" si="22"/>
        <v>98133392</v>
      </c>
      <c r="J70" s="360">
        <v>0</v>
      </c>
      <c r="K70" s="361">
        <v>0</v>
      </c>
      <c r="L70" s="362">
        <f t="shared" si="23"/>
        <v>0</v>
      </c>
      <c r="M70" s="391">
        <f t="shared" si="24"/>
        <v>98133392</v>
      </c>
    </row>
    <row r="71" spans="1:29" s="255" customFormat="1" ht="20.149999999999999" hidden="1" customHeight="1" outlineLevel="1" x14ac:dyDescent="0.55000000000000004">
      <c r="A71" s="261"/>
      <c r="B71" s="545" t="s">
        <v>20</v>
      </c>
      <c r="C71" s="360">
        <v>108455818</v>
      </c>
      <c r="D71" s="361">
        <v>71644393</v>
      </c>
      <c r="E71" s="361">
        <v>7017414</v>
      </c>
      <c r="F71" s="361">
        <v>1968719</v>
      </c>
      <c r="G71" s="361">
        <v>6113154</v>
      </c>
      <c r="H71" s="361">
        <v>72340951</v>
      </c>
      <c r="I71" s="362">
        <f t="shared" si="22"/>
        <v>267540449</v>
      </c>
      <c r="J71" s="360">
        <v>288301057</v>
      </c>
      <c r="K71" s="361">
        <v>0</v>
      </c>
      <c r="L71" s="362">
        <f t="shared" si="23"/>
        <v>288301057</v>
      </c>
      <c r="M71" s="391">
        <f t="shared" si="24"/>
        <v>555841506</v>
      </c>
    </row>
    <row r="72" spans="1:29" s="255" customFormat="1" ht="20.149999999999999" hidden="1" customHeight="1" outlineLevel="1" x14ac:dyDescent="0.55000000000000004">
      <c r="A72" s="261"/>
      <c r="B72" s="545" t="s">
        <v>21</v>
      </c>
      <c r="C72" s="360">
        <v>18544907</v>
      </c>
      <c r="D72" s="361">
        <v>36631806</v>
      </c>
      <c r="E72" s="361">
        <v>1176798</v>
      </c>
      <c r="F72" s="361">
        <v>0</v>
      </c>
      <c r="G72" s="361">
        <v>414775</v>
      </c>
      <c r="H72" s="361">
        <v>18557879</v>
      </c>
      <c r="I72" s="362">
        <f t="shared" si="22"/>
        <v>75326165</v>
      </c>
      <c r="J72" s="360">
        <v>0</v>
      </c>
      <c r="K72" s="361">
        <v>26798576</v>
      </c>
      <c r="L72" s="362">
        <f t="shared" si="23"/>
        <v>26798576</v>
      </c>
      <c r="M72" s="391">
        <f t="shared" si="24"/>
        <v>102124741</v>
      </c>
    </row>
    <row r="73" spans="1:29" s="255" customFormat="1" ht="20.149999999999999" hidden="1" customHeight="1" outlineLevel="1" x14ac:dyDescent="0.55000000000000004">
      <c r="A73" s="261"/>
      <c r="B73" s="545" t="s">
        <v>22</v>
      </c>
      <c r="C73" s="388">
        <v>36424486</v>
      </c>
      <c r="D73" s="369">
        <v>20678337</v>
      </c>
      <c r="E73" s="369">
        <v>394</v>
      </c>
      <c r="F73" s="369">
        <v>99</v>
      </c>
      <c r="G73" s="369">
        <v>1847295</v>
      </c>
      <c r="H73" s="369">
        <v>30430496</v>
      </c>
      <c r="I73" s="362">
        <f t="shared" si="22"/>
        <v>89381107</v>
      </c>
      <c r="J73" s="388">
        <v>0</v>
      </c>
      <c r="K73" s="369">
        <v>65405</v>
      </c>
      <c r="L73" s="362">
        <f t="shared" si="23"/>
        <v>65405</v>
      </c>
      <c r="M73" s="391">
        <f t="shared" si="24"/>
        <v>89446512</v>
      </c>
    </row>
    <row r="74" spans="1:29" s="255" customFormat="1" ht="20.149999999999999" hidden="1" customHeight="1" outlineLevel="1" x14ac:dyDescent="0.55000000000000004">
      <c r="A74" s="261"/>
      <c r="B74" s="545" t="s">
        <v>23</v>
      </c>
      <c r="C74" s="360">
        <v>8653528</v>
      </c>
      <c r="D74" s="361">
        <v>13695354</v>
      </c>
      <c r="E74" s="361">
        <v>82921</v>
      </c>
      <c r="F74" s="361">
        <v>0</v>
      </c>
      <c r="G74" s="361">
        <v>259501</v>
      </c>
      <c r="H74" s="361">
        <v>6284670</v>
      </c>
      <c r="I74" s="362">
        <f t="shared" si="22"/>
        <v>28975974</v>
      </c>
      <c r="J74" s="360">
        <v>1679253</v>
      </c>
      <c r="K74" s="361">
        <v>3658779</v>
      </c>
      <c r="L74" s="362">
        <f t="shared" si="23"/>
        <v>5338032</v>
      </c>
      <c r="M74" s="391">
        <f t="shared" si="24"/>
        <v>34314006</v>
      </c>
    </row>
    <row r="75" spans="1:29" s="255" customFormat="1" ht="20.149999999999999" hidden="1" customHeight="1" outlineLevel="1" x14ac:dyDescent="0.55000000000000004">
      <c r="A75" s="261"/>
      <c r="B75" s="545" t="s">
        <v>24</v>
      </c>
      <c r="C75" s="360">
        <v>10971284</v>
      </c>
      <c r="D75" s="361">
        <v>10202536</v>
      </c>
      <c r="E75" s="361">
        <v>726133</v>
      </c>
      <c r="F75" s="361">
        <v>0</v>
      </c>
      <c r="G75" s="361">
        <v>191483</v>
      </c>
      <c r="H75" s="361">
        <v>8043110</v>
      </c>
      <c r="I75" s="362">
        <f t="shared" si="22"/>
        <v>30134546</v>
      </c>
      <c r="J75" s="360">
        <v>0</v>
      </c>
      <c r="K75" s="361">
        <v>0</v>
      </c>
      <c r="L75" s="362">
        <f t="shared" si="23"/>
        <v>0</v>
      </c>
      <c r="M75" s="391">
        <f t="shared" si="24"/>
        <v>30134546</v>
      </c>
    </row>
    <row r="76" spans="1:29" s="255" customFormat="1" ht="20.149999999999999" hidden="1" customHeight="1" outlineLevel="1" x14ac:dyDescent="0.55000000000000004">
      <c r="A76" s="261"/>
      <c r="B76" s="545" t="s">
        <v>25</v>
      </c>
      <c r="C76" s="360">
        <v>14113896</v>
      </c>
      <c r="D76" s="361">
        <v>4735647</v>
      </c>
      <c r="E76" s="361">
        <v>152712</v>
      </c>
      <c r="F76" s="361">
        <v>0</v>
      </c>
      <c r="G76" s="361">
        <v>25931</v>
      </c>
      <c r="H76" s="361">
        <v>8239254</v>
      </c>
      <c r="I76" s="362">
        <f t="shared" si="22"/>
        <v>27267440</v>
      </c>
      <c r="J76" s="360">
        <v>0</v>
      </c>
      <c r="K76" s="361">
        <v>0</v>
      </c>
      <c r="L76" s="362">
        <f t="shared" si="23"/>
        <v>0</v>
      </c>
      <c r="M76" s="391">
        <f t="shared" si="24"/>
        <v>27267440</v>
      </c>
    </row>
    <row r="77" spans="1:29" s="255" customFormat="1" ht="20.149999999999999" hidden="1" customHeight="1" outlineLevel="1" x14ac:dyDescent="0.55000000000000004">
      <c r="A77" s="261"/>
      <c r="B77" s="545" t="s">
        <v>26</v>
      </c>
      <c r="C77" s="360">
        <v>46855178</v>
      </c>
      <c r="D77" s="361">
        <v>134131584</v>
      </c>
      <c r="E77" s="361">
        <v>41270</v>
      </c>
      <c r="F77" s="361">
        <v>0</v>
      </c>
      <c r="G77" s="361">
        <v>932016</v>
      </c>
      <c r="H77" s="361">
        <v>34858608</v>
      </c>
      <c r="I77" s="362">
        <f t="shared" si="22"/>
        <v>216818656</v>
      </c>
      <c r="J77" s="360">
        <v>0</v>
      </c>
      <c r="K77" s="361">
        <v>0</v>
      </c>
      <c r="L77" s="362">
        <f t="shared" si="23"/>
        <v>0</v>
      </c>
      <c r="M77" s="391">
        <f t="shared" si="24"/>
        <v>216818656</v>
      </c>
    </row>
    <row r="78" spans="1:29" s="255" customFormat="1" ht="20.149999999999999" customHeight="1" collapsed="1" x14ac:dyDescent="0.55000000000000004">
      <c r="A78" s="21"/>
      <c r="B78" s="354" t="s">
        <v>40</v>
      </c>
      <c r="C78" s="355">
        <v>304830283</v>
      </c>
      <c r="D78" s="356">
        <v>417555048</v>
      </c>
      <c r="E78" s="356">
        <v>9016809</v>
      </c>
      <c r="F78" s="356">
        <v>3111574</v>
      </c>
      <c r="G78" s="356">
        <v>11919662</v>
      </c>
      <c r="H78" s="356">
        <v>197764173</v>
      </c>
      <c r="I78" s="357">
        <f t="shared" si="10"/>
        <v>944197549</v>
      </c>
      <c r="J78" s="355">
        <v>293664355</v>
      </c>
      <c r="K78" s="356">
        <v>29990554</v>
      </c>
      <c r="L78" s="357">
        <f t="shared" si="20"/>
        <v>323654909</v>
      </c>
      <c r="M78" s="385">
        <f t="shared" si="21"/>
        <v>1267852458</v>
      </c>
      <c r="N78" s="40"/>
      <c r="O78" s="40"/>
      <c r="P78" s="40"/>
      <c r="Q78" s="40"/>
      <c r="R78" s="40"/>
      <c r="S78" s="40"/>
      <c r="T78" s="40"/>
      <c r="U78" s="40"/>
      <c r="V78" s="40"/>
      <c r="W78" s="40"/>
      <c r="X78" s="40"/>
      <c r="Y78" s="40"/>
      <c r="Z78" s="40"/>
      <c r="AA78" s="40"/>
      <c r="AB78" s="40"/>
      <c r="AC78" s="40"/>
    </row>
    <row r="79" spans="1:29" s="255" customFormat="1" ht="20.149999999999999" customHeight="1" x14ac:dyDescent="0.55000000000000004">
      <c r="A79" s="21"/>
      <c r="B79" s="371" t="s">
        <v>3</v>
      </c>
      <c r="C79" s="360">
        <v>290841480</v>
      </c>
      <c r="D79" s="361">
        <v>433359016</v>
      </c>
      <c r="E79" s="361">
        <v>9291493</v>
      </c>
      <c r="F79" s="361">
        <v>1865108</v>
      </c>
      <c r="G79" s="361">
        <v>11823225</v>
      </c>
      <c r="H79" s="361">
        <v>194255206</v>
      </c>
      <c r="I79" s="362">
        <f t="shared" si="10"/>
        <v>941435528</v>
      </c>
      <c r="J79" s="360">
        <v>294187588</v>
      </c>
      <c r="K79" s="361">
        <v>30154670</v>
      </c>
      <c r="L79" s="362">
        <f t="shared" si="20"/>
        <v>324342258</v>
      </c>
      <c r="M79" s="391">
        <f t="shared" si="21"/>
        <v>1265777786</v>
      </c>
      <c r="N79" s="40"/>
      <c r="O79" s="40"/>
      <c r="P79" s="40"/>
      <c r="Q79" s="40"/>
      <c r="R79" s="40"/>
      <c r="S79" s="40"/>
      <c r="T79" s="40"/>
      <c r="U79" s="40"/>
      <c r="V79" s="40"/>
      <c r="W79" s="40"/>
      <c r="X79" s="40"/>
      <c r="Y79" s="40"/>
      <c r="Z79" s="40"/>
      <c r="AA79" s="40"/>
      <c r="AB79" s="40"/>
      <c r="AC79" s="40"/>
    </row>
  </sheetData>
  <sortState ref="B73:M75">
    <sortCondition descending="1" ref="B73"/>
  </sortState>
  <customSheetViews>
    <customSheetView guid="{501209ED-4B79-4E52-B95E-748E5E77E24F}" scale="85" hiddenRows="1">
      <pane xSplit="2" ySplit="10" topLeftCell="C11" activePane="bottomRight" state="frozen"/>
      <selection pane="bottomRight" activeCell="J18" sqref="J18"/>
      <pageMargins left="0.59055118110236227" right="0.59055118110236227" top="0.59055118110236227" bottom="0.59055118110236227" header="0.31496062992125984" footer="0.31496062992125984"/>
      <printOptions horizontalCentered="1"/>
      <pageSetup paperSize="9" scale="49" orientation="portrait" r:id="rId1"/>
    </customSheetView>
  </customSheetViews>
  <mergeCells count="3">
    <mergeCell ref="M10:M11"/>
    <mergeCell ref="J10:L10"/>
    <mergeCell ref="C10:I10"/>
  </mergeCells>
  <phoneticPr fontId="1"/>
  <conditionalFormatting sqref="C34:M34 C45:M45 C56:M56 C67:M67 C78:M79 C23:M23">
    <cfRule type="containsBlanks" dxfId="174" priority="51">
      <formula>LEN(TRIM(C23))=0</formula>
    </cfRule>
  </conditionalFormatting>
  <conditionalFormatting sqref="C36:M36">
    <cfRule type="containsBlanks" dxfId="173" priority="48">
      <formula>LEN(TRIM(C36))=0</formula>
    </cfRule>
  </conditionalFormatting>
  <conditionalFormatting sqref="C37:M37">
    <cfRule type="containsBlanks" dxfId="172" priority="47">
      <formula>LEN(TRIM(C37))=0</formula>
    </cfRule>
  </conditionalFormatting>
  <conditionalFormatting sqref="C38:M38">
    <cfRule type="containsBlanks" dxfId="171" priority="46">
      <formula>LEN(TRIM(C38))=0</formula>
    </cfRule>
  </conditionalFormatting>
  <conditionalFormatting sqref="C39:M39">
    <cfRule type="containsBlanks" dxfId="170" priority="45">
      <formula>LEN(TRIM(C39))=0</formula>
    </cfRule>
  </conditionalFormatting>
  <conditionalFormatting sqref="C40:M40">
    <cfRule type="containsBlanks" dxfId="169" priority="44">
      <formula>LEN(TRIM(C40))=0</formula>
    </cfRule>
  </conditionalFormatting>
  <conditionalFormatting sqref="C41:M41">
    <cfRule type="containsBlanks" dxfId="168" priority="43">
      <formula>LEN(TRIM(C41))=0</formula>
    </cfRule>
  </conditionalFormatting>
  <conditionalFormatting sqref="C42:M42">
    <cfRule type="containsBlanks" dxfId="167" priority="42">
      <formula>LEN(TRIM(C42))=0</formula>
    </cfRule>
  </conditionalFormatting>
  <conditionalFormatting sqref="C43:M43">
    <cfRule type="containsBlanks" dxfId="166" priority="41">
      <formula>LEN(TRIM(C43))=0</formula>
    </cfRule>
  </conditionalFormatting>
  <conditionalFormatting sqref="C44:M44">
    <cfRule type="containsBlanks" dxfId="165" priority="40">
      <formula>LEN(TRIM(C44))=0</formula>
    </cfRule>
  </conditionalFormatting>
  <conditionalFormatting sqref="C47:M47">
    <cfRule type="containsBlanks" dxfId="164" priority="38">
      <formula>LEN(TRIM(C47))=0</formula>
    </cfRule>
  </conditionalFormatting>
  <conditionalFormatting sqref="C48:M48">
    <cfRule type="containsBlanks" dxfId="163" priority="37">
      <formula>LEN(TRIM(C48))=0</formula>
    </cfRule>
  </conditionalFormatting>
  <conditionalFormatting sqref="C49:M49">
    <cfRule type="containsBlanks" dxfId="162" priority="36">
      <formula>LEN(TRIM(C49))=0</formula>
    </cfRule>
  </conditionalFormatting>
  <conditionalFormatting sqref="C50:M50">
    <cfRule type="containsBlanks" dxfId="161" priority="35">
      <formula>LEN(TRIM(C50))=0</formula>
    </cfRule>
  </conditionalFormatting>
  <conditionalFormatting sqref="C51:M51">
    <cfRule type="containsBlanks" dxfId="160" priority="34">
      <formula>LEN(TRIM(C51))=0</formula>
    </cfRule>
  </conditionalFormatting>
  <conditionalFormatting sqref="C52:M52">
    <cfRule type="containsBlanks" dxfId="159" priority="33">
      <formula>LEN(TRIM(C52))=0</formula>
    </cfRule>
  </conditionalFormatting>
  <conditionalFormatting sqref="C53:M53">
    <cfRule type="containsBlanks" dxfId="158" priority="32">
      <formula>LEN(TRIM(C53))=0</formula>
    </cfRule>
  </conditionalFormatting>
  <conditionalFormatting sqref="C54:M54">
    <cfRule type="containsBlanks" dxfId="157" priority="31">
      <formula>LEN(TRIM(C54))=0</formula>
    </cfRule>
  </conditionalFormatting>
  <conditionalFormatting sqref="C55:M55">
    <cfRule type="containsBlanks" dxfId="156" priority="30">
      <formula>LEN(TRIM(C55))=0</formula>
    </cfRule>
  </conditionalFormatting>
  <conditionalFormatting sqref="C58:M58">
    <cfRule type="containsBlanks" dxfId="155" priority="28">
      <formula>LEN(TRIM(C58))=0</formula>
    </cfRule>
  </conditionalFormatting>
  <conditionalFormatting sqref="C59:M59">
    <cfRule type="containsBlanks" dxfId="154" priority="27">
      <formula>LEN(TRIM(C59))=0</formula>
    </cfRule>
  </conditionalFormatting>
  <conditionalFormatting sqref="C60:M60">
    <cfRule type="containsBlanks" dxfId="153" priority="26">
      <formula>LEN(TRIM(C60))=0</formula>
    </cfRule>
  </conditionalFormatting>
  <conditionalFormatting sqref="C61:M61">
    <cfRule type="containsBlanks" dxfId="152" priority="25">
      <formula>LEN(TRIM(C61))=0</formula>
    </cfRule>
  </conditionalFormatting>
  <conditionalFormatting sqref="C62:M62">
    <cfRule type="containsBlanks" dxfId="151" priority="24">
      <formula>LEN(TRIM(C62))=0</formula>
    </cfRule>
  </conditionalFormatting>
  <conditionalFormatting sqref="C63:M63">
    <cfRule type="containsBlanks" dxfId="150" priority="23">
      <formula>LEN(TRIM(C63))=0</formula>
    </cfRule>
  </conditionalFormatting>
  <conditionalFormatting sqref="C64:M64">
    <cfRule type="containsBlanks" dxfId="149" priority="22">
      <formula>LEN(TRIM(C64))=0</formula>
    </cfRule>
  </conditionalFormatting>
  <conditionalFormatting sqref="C65:M65">
    <cfRule type="containsBlanks" dxfId="148" priority="21">
      <formula>LEN(TRIM(C65))=0</formula>
    </cfRule>
  </conditionalFormatting>
  <conditionalFormatting sqref="C66:M66">
    <cfRule type="containsBlanks" dxfId="147" priority="20">
      <formula>LEN(TRIM(C66))=0</formula>
    </cfRule>
  </conditionalFormatting>
  <conditionalFormatting sqref="C69:M69">
    <cfRule type="containsBlanks" dxfId="146" priority="18">
      <formula>LEN(TRIM(C69))=0</formula>
    </cfRule>
  </conditionalFormatting>
  <conditionalFormatting sqref="C70:M70">
    <cfRule type="containsBlanks" dxfId="145" priority="17">
      <formula>LEN(TRIM(C70))=0</formula>
    </cfRule>
  </conditionalFormatting>
  <conditionalFormatting sqref="C71:M71">
    <cfRule type="containsBlanks" dxfId="144" priority="16">
      <formula>LEN(TRIM(C71))=0</formula>
    </cfRule>
  </conditionalFormatting>
  <conditionalFormatting sqref="C72:M72">
    <cfRule type="containsBlanks" dxfId="143" priority="15">
      <formula>LEN(TRIM(C72))=0</formula>
    </cfRule>
  </conditionalFormatting>
  <conditionalFormatting sqref="C73:M73">
    <cfRule type="containsBlanks" dxfId="142" priority="14">
      <formula>LEN(TRIM(C73))=0</formula>
    </cfRule>
  </conditionalFormatting>
  <conditionalFormatting sqref="C74:M74">
    <cfRule type="containsBlanks" dxfId="141" priority="13">
      <formula>LEN(TRIM(C74))=0</formula>
    </cfRule>
  </conditionalFormatting>
  <conditionalFormatting sqref="C75:M75">
    <cfRule type="containsBlanks" dxfId="140" priority="12">
      <formula>LEN(TRIM(C75))=0</formula>
    </cfRule>
  </conditionalFormatting>
  <conditionalFormatting sqref="C76:M76">
    <cfRule type="containsBlanks" dxfId="139" priority="11">
      <formula>LEN(TRIM(C76))=0</formula>
    </cfRule>
  </conditionalFormatting>
  <conditionalFormatting sqref="C77:M77">
    <cfRule type="containsBlanks" dxfId="138" priority="10">
      <formula>LEN(TRIM(C77))=0</formula>
    </cfRule>
  </conditionalFormatting>
  <conditionalFormatting sqref="I25:I33">
    <cfRule type="containsBlanks" dxfId="137" priority="9">
      <formula>LEN(TRIM(I25))=0</formula>
    </cfRule>
  </conditionalFormatting>
  <conditionalFormatting sqref="L25:M33">
    <cfRule type="containsBlanks" dxfId="136" priority="8">
      <formula>LEN(TRIM(L25))=0</formula>
    </cfRule>
  </conditionalFormatting>
  <conditionalFormatting sqref="C12:M12">
    <cfRule type="containsBlanks" dxfId="135" priority="5">
      <formula>LEN(TRIM(C12))=0</formula>
    </cfRule>
  </conditionalFormatting>
  <conditionalFormatting sqref="I14:I22">
    <cfRule type="containsBlanks" dxfId="134" priority="4">
      <formula>LEN(TRIM(I14))=0</formula>
    </cfRule>
  </conditionalFormatting>
  <conditionalFormatting sqref="L14:M22">
    <cfRule type="containsBlanks" dxfId="133" priority="3">
      <formula>LEN(TRIM(L14))=0</formula>
    </cfRule>
  </conditionalFormatting>
  <conditionalFormatting sqref="C14:H22">
    <cfRule type="containsBlanks" dxfId="132" priority="53">
      <formula>LEN(TRIM(C14))=0</formula>
    </cfRule>
  </conditionalFormatting>
  <conditionalFormatting sqref="J14:K22">
    <cfRule type="containsBlanks" dxfId="131" priority="52">
      <formula>LEN(TRIM(J14))=0</formula>
    </cfRule>
  </conditionalFormatting>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49" orientation="portrait" r:id="rId2"/>
  <extLst>
    <ext xmlns:x14="http://schemas.microsoft.com/office/spreadsheetml/2009/9/main" uri="{78C0D931-6437-407d-A8EE-F0AAD7539E65}">
      <x14:conditionalFormattings>
        <x14:conditionalFormatting xmlns:xm="http://schemas.microsoft.com/office/excel/2006/main">
          <x14:cfRule type="containsBlanks" priority="7" id="{96B6A912-7086-486D-8DB3-54F760936F26}">
            <xm:f>LEN(TRIM('[Book2]3(2)固定資産税（地目別地積の推移（土地））'!#REF!))=0</xm:f>
            <x14:dxf>
              <fill>
                <patternFill>
                  <bgColor rgb="FFFFFF00"/>
                </patternFill>
              </fill>
            </x14:dxf>
          </x14:cfRule>
          <xm:sqref>C25:H33</xm:sqref>
        </x14:conditionalFormatting>
        <x14:conditionalFormatting xmlns:xm="http://schemas.microsoft.com/office/excel/2006/main">
          <x14:cfRule type="containsBlanks" priority="6" id="{F53CB5CF-BE93-486A-BB95-9F7F838C167C}">
            <xm:f>LEN(TRIM('[Book2]3(2)固定資産税（地目別地積の推移（土地））'!#REF!))=0</xm:f>
            <x14:dxf>
              <fill>
                <patternFill>
                  <bgColor rgb="FFFFFF00"/>
                </patternFill>
              </fill>
            </x14:dxf>
          </x14:cfRule>
          <xm:sqref>J25:K33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zoomScale="85" zoomScaleNormal="85" workbookViewId="0">
      <pane xSplit="2" ySplit="10" topLeftCell="C11" activePane="bottomRight" state="frozen"/>
      <selection pane="topRight" activeCell="C1" sqref="C1"/>
      <selection pane="bottomLeft" activeCell="A11" sqref="A11"/>
      <selection pane="bottomRight"/>
    </sheetView>
  </sheetViews>
  <sheetFormatPr defaultColWidth="8.58203125" defaultRowHeight="14.5" outlineLevelRow="1" x14ac:dyDescent="0.35"/>
  <cols>
    <col min="1" max="1" width="6.58203125" style="4" bestFit="1" customWidth="1"/>
    <col min="2" max="2" width="10.33203125" style="1" bestFit="1" customWidth="1"/>
    <col min="3" max="3" width="13.58203125" style="1" customWidth="1"/>
    <col min="4" max="5" width="13.58203125" style="2" customWidth="1"/>
    <col min="6" max="6" width="13.58203125" style="4" customWidth="1"/>
    <col min="7" max="13" width="13.58203125" style="1" customWidth="1"/>
    <col min="14" max="27" width="10.83203125" style="1" bestFit="1" customWidth="1"/>
    <col min="28" max="29" width="10.33203125" style="1" bestFit="1" customWidth="1"/>
    <col min="30" max="16384" width="8.58203125" style="1"/>
  </cols>
  <sheetData>
    <row r="1" spans="1:29" x14ac:dyDescent="0.35">
      <c r="A1" s="433" t="s">
        <v>438</v>
      </c>
      <c r="B1" s="433"/>
    </row>
    <row r="3" spans="1:29" s="253" customFormat="1" ht="20.149999999999999" customHeight="1" x14ac:dyDescent="0.55000000000000004">
      <c r="A3" s="252" t="s">
        <v>120</v>
      </c>
    </row>
    <row r="4" spans="1:29" s="253" customFormat="1" ht="20.149999999999999" customHeight="1" x14ac:dyDescent="0.55000000000000004">
      <c r="A4" s="252" t="s">
        <v>176</v>
      </c>
    </row>
    <row r="5" spans="1:29" s="253" customFormat="1" ht="14.5" customHeight="1" x14ac:dyDescent="0.55000000000000004">
      <c r="A5" s="46"/>
    </row>
    <row r="6" spans="1:29" s="253" customFormat="1" ht="14.5" customHeight="1" x14ac:dyDescent="0.55000000000000004">
      <c r="A6" s="17" t="s">
        <v>28</v>
      </c>
      <c r="B6" s="30" t="s">
        <v>1118</v>
      </c>
    </row>
    <row r="7" spans="1:29" s="253" customFormat="1" ht="14.5" customHeight="1" x14ac:dyDescent="0.55000000000000004">
      <c r="B7" s="30" t="s">
        <v>1122</v>
      </c>
    </row>
    <row r="8" spans="1:29" s="253" customFormat="1" ht="14.5" customHeight="1" x14ac:dyDescent="0.55000000000000004">
      <c r="A8" s="30"/>
      <c r="B8" s="30" t="s">
        <v>1116</v>
      </c>
    </row>
    <row r="9" spans="1:29" s="22" customFormat="1" ht="14.5" customHeight="1" x14ac:dyDescent="0.55000000000000004">
      <c r="A9" s="22" t="s">
        <v>32</v>
      </c>
      <c r="B9" s="30"/>
      <c r="C9" s="421"/>
      <c r="D9" s="421"/>
      <c r="E9" s="421"/>
      <c r="F9" s="421"/>
      <c r="G9" s="421"/>
      <c r="H9" s="421"/>
      <c r="I9" s="421"/>
      <c r="J9" s="421"/>
      <c r="K9" s="421"/>
      <c r="L9" s="421"/>
    </row>
    <row r="10" spans="1:29" s="255" customFormat="1" ht="20.149999999999999" customHeight="1" x14ac:dyDescent="0.55000000000000004">
      <c r="A10" s="21"/>
      <c r="B10" s="327"/>
      <c r="C10" s="672" t="s">
        <v>174</v>
      </c>
      <c r="D10" s="672"/>
      <c r="E10" s="672"/>
      <c r="F10" s="672"/>
      <c r="G10" s="672"/>
      <c r="H10" s="672"/>
      <c r="I10" s="672"/>
      <c r="J10" s="672" t="s">
        <v>175</v>
      </c>
      <c r="K10" s="672"/>
      <c r="L10" s="672"/>
      <c r="M10" s="680" t="s">
        <v>173</v>
      </c>
      <c r="N10" s="40"/>
      <c r="O10" s="40"/>
      <c r="P10" s="40"/>
      <c r="Q10" s="40"/>
      <c r="R10" s="40"/>
      <c r="S10" s="40"/>
      <c r="T10" s="40"/>
      <c r="U10" s="40"/>
      <c r="V10" s="40"/>
      <c r="W10" s="40"/>
      <c r="X10" s="40"/>
      <c r="Y10" s="40"/>
      <c r="Z10" s="40"/>
      <c r="AA10" s="40"/>
      <c r="AB10" s="40"/>
      <c r="AC10" s="40"/>
    </row>
    <row r="11" spans="1:29" s="21" customFormat="1" ht="20.149999999999999" customHeight="1" x14ac:dyDescent="0.55000000000000004">
      <c r="B11" s="327"/>
      <c r="C11" s="365" t="s">
        <v>165</v>
      </c>
      <c r="D11" s="365" t="s">
        <v>166</v>
      </c>
      <c r="E11" s="365" t="s">
        <v>167</v>
      </c>
      <c r="F11" s="365" t="s">
        <v>168</v>
      </c>
      <c r="G11" s="365" t="s">
        <v>169</v>
      </c>
      <c r="H11" s="365" t="s">
        <v>170</v>
      </c>
      <c r="I11" s="365" t="s">
        <v>124</v>
      </c>
      <c r="J11" s="365" t="s">
        <v>171</v>
      </c>
      <c r="K11" s="365" t="s">
        <v>172</v>
      </c>
      <c r="L11" s="365" t="s">
        <v>124</v>
      </c>
      <c r="M11" s="682"/>
      <c r="N11" s="45"/>
      <c r="O11" s="45"/>
      <c r="P11" s="45"/>
      <c r="Q11" s="45"/>
      <c r="R11" s="45"/>
      <c r="S11" s="45"/>
      <c r="T11" s="45"/>
      <c r="U11" s="45"/>
      <c r="V11" s="45"/>
      <c r="W11" s="45"/>
      <c r="X11" s="45"/>
      <c r="Y11" s="45"/>
      <c r="Z11" s="45"/>
      <c r="AA11" s="45"/>
      <c r="AB11" s="45"/>
      <c r="AC11" s="45"/>
    </row>
    <row r="12" spans="1:29" s="255" customFormat="1" ht="20.149999999999999" customHeight="1" x14ac:dyDescent="0.55000000000000004">
      <c r="A12" s="21"/>
      <c r="B12" s="353" t="s">
        <v>1127</v>
      </c>
      <c r="C12" s="820">
        <f>SUM(C14:C22)</f>
        <v>351982129</v>
      </c>
      <c r="D12" s="820">
        <f t="shared" ref="D12:H12" si="0">SUM(D14:D22)</f>
        <v>513182979</v>
      </c>
      <c r="E12" s="820">
        <f t="shared" si="0"/>
        <v>72905820</v>
      </c>
      <c r="F12" s="820">
        <f t="shared" si="0"/>
        <v>1425371</v>
      </c>
      <c r="G12" s="820">
        <f t="shared" si="0"/>
        <v>12296339</v>
      </c>
      <c r="H12" s="820">
        <f t="shared" si="0"/>
        <v>223312985</v>
      </c>
      <c r="I12" s="821">
        <f>SUM(C12:H12)</f>
        <v>1175105623</v>
      </c>
      <c r="J12" s="820">
        <f t="shared" ref="J12:K12" si="1">SUM(J14:J22)</f>
        <v>272096902</v>
      </c>
      <c r="K12" s="820">
        <f t="shared" si="1"/>
        <v>28506050</v>
      </c>
      <c r="L12" s="821">
        <f>SUM(J12:K12)</f>
        <v>300602952</v>
      </c>
      <c r="M12" s="817">
        <f>I12+L12</f>
        <v>1475708575</v>
      </c>
      <c r="N12" s="40"/>
      <c r="O12" s="40"/>
      <c r="P12" s="40"/>
      <c r="Q12" s="40"/>
      <c r="R12" s="40"/>
      <c r="S12" s="40"/>
      <c r="T12" s="40"/>
      <c r="U12" s="40"/>
      <c r="V12" s="40"/>
      <c r="W12" s="40"/>
      <c r="X12" s="40"/>
      <c r="Y12" s="40"/>
      <c r="Z12" s="40"/>
      <c r="AA12" s="40"/>
      <c r="AB12" s="40"/>
      <c r="AC12" s="40"/>
    </row>
    <row r="13" spans="1:29" ht="20.149999999999999" customHeight="1" x14ac:dyDescent="0.3">
      <c r="A13" s="2"/>
      <c r="B13" s="548" t="s">
        <v>1101</v>
      </c>
      <c r="C13" s="13"/>
      <c r="D13" s="13"/>
      <c r="E13" s="13"/>
      <c r="F13" s="13"/>
      <c r="G13" s="13"/>
      <c r="H13" s="13"/>
      <c r="I13" s="13"/>
      <c r="J13" s="13"/>
      <c r="K13" s="13"/>
      <c r="L13" s="13"/>
      <c r="M13" s="13"/>
    </row>
    <row r="14" spans="1:29" s="255" customFormat="1" ht="20.149999999999999" customHeight="1" outlineLevel="1" x14ac:dyDescent="0.55000000000000004">
      <c r="A14" s="34"/>
      <c r="B14" s="544" t="s">
        <v>18</v>
      </c>
      <c r="C14" s="367">
        <v>42569468</v>
      </c>
      <c r="D14" s="356">
        <v>74088642</v>
      </c>
      <c r="E14" s="356">
        <v>455556</v>
      </c>
      <c r="F14" s="356">
        <v>19542</v>
      </c>
      <c r="G14" s="356">
        <v>1720425</v>
      </c>
      <c r="H14" s="356">
        <v>17961556</v>
      </c>
      <c r="I14" s="357">
        <f>SUM(C14:H14)</f>
        <v>136815189</v>
      </c>
      <c r="J14" s="356" t="s">
        <v>50</v>
      </c>
      <c r="K14" s="356" t="s">
        <v>50</v>
      </c>
      <c r="L14" s="357">
        <f>SUM(J14:K14)</f>
        <v>0</v>
      </c>
      <c r="M14" s="385">
        <f>I14+L14</f>
        <v>136815189</v>
      </c>
    </row>
    <row r="15" spans="1:29" s="255" customFormat="1" ht="20.149999999999999" customHeight="1" outlineLevel="1" x14ac:dyDescent="0.55000000000000004">
      <c r="A15" s="34"/>
      <c r="B15" s="545" t="s">
        <v>19</v>
      </c>
      <c r="C15" s="367">
        <v>33897148</v>
      </c>
      <c r="D15" s="356">
        <v>149647359</v>
      </c>
      <c r="E15" s="356">
        <v>67857757</v>
      </c>
      <c r="F15" s="356" t="s">
        <v>50</v>
      </c>
      <c r="G15" s="356">
        <v>797919</v>
      </c>
      <c r="H15" s="356">
        <v>8334366</v>
      </c>
      <c r="I15" s="357">
        <f t="shared" ref="I15:I22" si="2">SUM(C15:H15)</f>
        <v>260534549</v>
      </c>
      <c r="J15" s="356" t="s">
        <v>50</v>
      </c>
      <c r="K15" s="356" t="s">
        <v>50</v>
      </c>
      <c r="L15" s="357">
        <f t="shared" ref="L15:L22" si="3">SUM(J15:K15)</f>
        <v>0</v>
      </c>
      <c r="M15" s="385">
        <f t="shared" ref="M15:M22" si="4">I15+L15</f>
        <v>260534549</v>
      </c>
    </row>
    <row r="16" spans="1:29" s="255" customFormat="1" ht="20.149999999999999" customHeight="1" outlineLevel="1" x14ac:dyDescent="0.55000000000000004">
      <c r="A16" s="261"/>
      <c r="B16" s="545" t="s">
        <v>20</v>
      </c>
      <c r="C16" s="367">
        <v>123046462</v>
      </c>
      <c r="D16" s="356">
        <v>70858216</v>
      </c>
      <c r="E16" s="356">
        <v>3190980</v>
      </c>
      <c r="F16" s="356">
        <v>1400940</v>
      </c>
      <c r="G16" s="356">
        <v>7214742</v>
      </c>
      <c r="H16" s="356">
        <v>87648076</v>
      </c>
      <c r="I16" s="357">
        <f t="shared" si="2"/>
        <v>293359416</v>
      </c>
      <c r="J16" s="356">
        <v>270604684</v>
      </c>
      <c r="K16" s="356" t="s">
        <v>50</v>
      </c>
      <c r="L16" s="357">
        <f t="shared" si="3"/>
        <v>270604684</v>
      </c>
      <c r="M16" s="385">
        <f t="shared" si="4"/>
        <v>563964100</v>
      </c>
    </row>
    <row r="17" spans="1:29" s="255" customFormat="1" ht="20.149999999999999" customHeight="1" outlineLevel="1" x14ac:dyDescent="0.55000000000000004">
      <c r="A17" s="261"/>
      <c r="B17" s="545" t="s">
        <v>21</v>
      </c>
      <c r="C17" s="367">
        <v>25119814</v>
      </c>
      <c r="D17" s="356">
        <v>27679477</v>
      </c>
      <c r="E17" s="356">
        <v>770676</v>
      </c>
      <c r="F17" s="356" t="s">
        <v>50</v>
      </c>
      <c r="G17" s="356">
        <v>477553</v>
      </c>
      <c r="H17" s="356">
        <v>19243228</v>
      </c>
      <c r="I17" s="357">
        <f t="shared" si="2"/>
        <v>73290748</v>
      </c>
      <c r="J17" s="356" t="s">
        <v>50</v>
      </c>
      <c r="K17" s="356">
        <v>24546871</v>
      </c>
      <c r="L17" s="357">
        <f t="shared" si="3"/>
        <v>24546871</v>
      </c>
      <c r="M17" s="385">
        <f t="shared" si="4"/>
        <v>97837619</v>
      </c>
    </row>
    <row r="18" spans="1:29" s="255" customFormat="1" ht="20.149999999999999" customHeight="1" outlineLevel="1" x14ac:dyDescent="0.55000000000000004">
      <c r="A18" s="261"/>
      <c r="B18" s="545" t="s">
        <v>22</v>
      </c>
      <c r="C18" s="367">
        <v>29032860</v>
      </c>
      <c r="D18" s="356">
        <v>20188860</v>
      </c>
      <c r="E18" s="356">
        <v>4687</v>
      </c>
      <c r="F18" s="356">
        <v>597</v>
      </c>
      <c r="G18" s="356">
        <v>652862</v>
      </c>
      <c r="H18" s="356">
        <v>28717651</v>
      </c>
      <c r="I18" s="357">
        <f t="shared" si="2"/>
        <v>78597517</v>
      </c>
      <c r="J18" s="356" t="s">
        <v>50</v>
      </c>
      <c r="K18" s="356">
        <v>52162</v>
      </c>
      <c r="L18" s="357">
        <f t="shared" si="3"/>
        <v>52162</v>
      </c>
      <c r="M18" s="385">
        <f t="shared" si="4"/>
        <v>78649679</v>
      </c>
    </row>
    <row r="19" spans="1:29" s="255" customFormat="1" ht="20.149999999999999" customHeight="1" outlineLevel="1" x14ac:dyDescent="0.55000000000000004">
      <c r="A19" s="261"/>
      <c r="B19" s="545" t="s">
        <v>23</v>
      </c>
      <c r="C19" s="367">
        <v>10996157</v>
      </c>
      <c r="D19" s="356">
        <v>14091082</v>
      </c>
      <c r="E19" s="356">
        <v>60863</v>
      </c>
      <c r="F19" s="356" t="s">
        <v>50</v>
      </c>
      <c r="G19" s="356">
        <v>151615</v>
      </c>
      <c r="H19" s="356">
        <v>6435073</v>
      </c>
      <c r="I19" s="357">
        <f t="shared" si="2"/>
        <v>31734790</v>
      </c>
      <c r="J19" s="356">
        <v>1492218</v>
      </c>
      <c r="K19" s="356">
        <v>3907017</v>
      </c>
      <c r="L19" s="357">
        <f t="shared" si="3"/>
        <v>5399235</v>
      </c>
      <c r="M19" s="385">
        <f t="shared" si="4"/>
        <v>37134025</v>
      </c>
    </row>
    <row r="20" spans="1:29" s="255" customFormat="1" ht="20.149999999999999" customHeight="1" outlineLevel="1" x14ac:dyDescent="0.55000000000000004">
      <c r="A20" s="261"/>
      <c r="B20" s="545" t="s">
        <v>24</v>
      </c>
      <c r="C20" s="367">
        <v>13287824</v>
      </c>
      <c r="D20" s="356">
        <v>9452710</v>
      </c>
      <c r="E20" s="356">
        <v>439540</v>
      </c>
      <c r="F20" s="356" t="s">
        <v>50</v>
      </c>
      <c r="G20" s="356">
        <v>202510</v>
      </c>
      <c r="H20" s="356">
        <v>9303293</v>
      </c>
      <c r="I20" s="357">
        <f t="shared" si="2"/>
        <v>32685877</v>
      </c>
      <c r="J20" s="356" t="s">
        <v>50</v>
      </c>
      <c r="K20" s="356" t="s">
        <v>50</v>
      </c>
      <c r="L20" s="357">
        <f t="shared" si="3"/>
        <v>0</v>
      </c>
      <c r="M20" s="385">
        <f t="shared" si="4"/>
        <v>32685877</v>
      </c>
    </row>
    <row r="21" spans="1:29" s="255" customFormat="1" ht="20.149999999999999" customHeight="1" outlineLevel="1" x14ac:dyDescent="0.55000000000000004">
      <c r="A21" s="261"/>
      <c r="B21" s="545" t="s">
        <v>25</v>
      </c>
      <c r="C21" s="367">
        <v>12155585</v>
      </c>
      <c r="D21" s="356">
        <v>4523282</v>
      </c>
      <c r="E21" s="356">
        <v>100901</v>
      </c>
      <c r="F21" s="356">
        <v>65</v>
      </c>
      <c r="G21" s="356">
        <v>91889</v>
      </c>
      <c r="H21" s="356">
        <v>7695769</v>
      </c>
      <c r="I21" s="357">
        <f t="shared" si="2"/>
        <v>24567491</v>
      </c>
      <c r="J21" s="356" t="s">
        <v>50</v>
      </c>
      <c r="K21" s="356" t="s">
        <v>50</v>
      </c>
      <c r="L21" s="357">
        <f t="shared" si="3"/>
        <v>0</v>
      </c>
      <c r="M21" s="385">
        <f t="shared" si="4"/>
        <v>24567491</v>
      </c>
    </row>
    <row r="22" spans="1:29" s="255" customFormat="1" ht="20.149999999999999" customHeight="1" outlineLevel="1" x14ac:dyDescent="0.55000000000000004">
      <c r="A22" s="261"/>
      <c r="B22" s="545" t="s">
        <v>26</v>
      </c>
      <c r="C22" s="367">
        <v>61876811</v>
      </c>
      <c r="D22" s="356">
        <v>142653351</v>
      </c>
      <c r="E22" s="356">
        <v>24860</v>
      </c>
      <c r="F22" s="356">
        <v>4227</v>
      </c>
      <c r="G22" s="356">
        <v>986824</v>
      </c>
      <c r="H22" s="356">
        <v>37973973</v>
      </c>
      <c r="I22" s="357">
        <f t="shared" si="2"/>
        <v>243520046</v>
      </c>
      <c r="J22" s="356" t="s">
        <v>50</v>
      </c>
      <c r="K22" s="356" t="s">
        <v>50</v>
      </c>
      <c r="L22" s="357">
        <f t="shared" si="3"/>
        <v>0</v>
      </c>
      <c r="M22" s="385">
        <f t="shared" si="4"/>
        <v>243520046</v>
      </c>
    </row>
    <row r="23" spans="1:29" s="255" customFormat="1" ht="20.149999999999999" customHeight="1" x14ac:dyDescent="0.55000000000000004">
      <c r="A23" s="21"/>
      <c r="B23" s="353" t="s">
        <v>1110</v>
      </c>
      <c r="C23" s="387">
        <f>SUM(C25:C33)</f>
        <v>338694177</v>
      </c>
      <c r="D23" s="387">
        <f t="shared" ref="D23:K23" si="5">SUM(D25:D33)</f>
        <v>448562845</v>
      </c>
      <c r="E23" s="387">
        <f t="shared" si="5"/>
        <v>87709455</v>
      </c>
      <c r="F23" s="387">
        <f t="shared" si="5"/>
        <v>1459781</v>
      </c>
      <c r="G23" s="387">
        <f t="shared" si="5"/>
        <v>11906709</v>
      </c>
      <c r="H23" s="387">
        <f t="shared" si="5"/>
        <v>231552778</v>
      </c>
      <c r="I23" s="532">
        <f>SUM(C23:H23)</f>
        <v>1119885745</v>
      </c>
      <c r="J23" s="387">
        <f t="shared" si="5"/>
        <v>273943047</v>
      </c>
      <c r="K23" s="387">
        <f t="shared" si="5"/>
        <v>28536694</v>
      </c>
      <c r="L23" s="532">
        <f>SUM(J23:K23)</f>
        <v>302479741</v>
      </c>
      <c r="M23" s="384">
        <f>I23+L23</f>
        <v>1422365486</v>
      </c>
      <c r="N23" s="40"/>
      <c r="O23" s="40"/>
      <c r="P23" s="40"/>
      <c r="Q23" s="40"/>
      <c r="R23" s="40"/>
      <c r="S23" s="40"/>
      <c r="T23" s="40"/>
      <c r="U23" s="40"/>
      <c r="V23" s="40"/>
      <c r="W23" s="40"/>
      <c r="X23" s="40"/>
      <c r="Y23" s="40"/>
      <c r="Z23" s="40"/>
      <c r="AA23" s="40"/>
      <c r="AB23" s="40"/>
      <c r="AC23" s="40"/>
    </row>
    <row r="24" spans="1:29" ht="20.149999999999999" customHeight="1" x14ac:dyDescent="0.3">
      <c r="A24" s="2"/>
      <c r="B24" s="548" t="s">
        <v>1101</v>
      </c>
      <c r="C24" s="543"/>
      <c r="D24" s="543"/>
      <c r="E24" s="543"/>
      <c r="F24" s="543"/>
      <c r="G24" s="543"/>
      <c r="H24" s="543"/>
      <c r="I24" s="543"/>
      <c r="J24" s="543"/>
      <c r="K24" s="543"/>
      <c r="L24" s="543"/>
      <c r="M24" s="543"/>
    </row>
    <row r="25" spans="1:29" s="255" customFormat="1" ht="20.149999999999999" hidden="1" customHeight="1" outlineLevel="1" x14ac:dyDescent="0.55000000000000004">
      <c r="A25" s="34"/>
      <c r="B25" s="544" t="s">
        <v>18</v>
      </c>
      <c r="C25" s="579">
        <v>39570565</v>
      </c>
      <c r="D25" s="363">
        <v>73253225</v>
      </c>
      <c r="E25" s="363">
        <v>331197</v>
      </c>
      <c r="F25" s="363"/>
      <c r="G25" s="363">
        <v>1809155</v>
      </c>
      <c r="H25" s="363">
        <v>17466262</v>
      </c>
      <c r="I25" s="364">
        <f>SUM(C25:H25)</f>
        <v>132430404</v>
      </c>
      <c r="J25" s="363"/>
      <c r="K25" s="363"/>
      <c r="L25" s="364">
        <f>SUM(J25:K25)</f>
        <v>0</v>
      </c>
      <c r="M25" s="390">
        <f>I25+L25</f>
        <v>132430404</v>
      </c>
    </row>
    <row r="26" spans="1:29" s="255" customFormat="1" ht="20.149999999999999" hidden="1" customHeight="1" outlineLevel="1" x14ac:dyDescent="0.55000000000000004">
      <c r="A26" s="34"/>
      <c r="B26" s="545" t="s">
        <v>19</v>
      </c>
      <c r="C26" s="579">
        <v>27614306</v>
      </c>
      <c r="D26" s="363">
        <v>85171308</v>
      </c>
      <c r="E26" s="363">
        <v>81911487</v>
      </c>
      <c r="F26" s="363"/>
      <c r="G26" s="363">
        <v>817580</v>
      </c>
      <c r="H26" s="363">
        <v>8196596</v>
      </c>
      <c r="I26" s="364">
        <f t="shared" ref="I26:I33" si="6">SUM(C26:H26)</f>
        <v>203711277</v>
      </c>
      <c r="J26" s="363"/>
      <c r="K26" s="363"/>
      <c r="L26" s="364">
        <f t="shared" ref="L26:L33" si="7">SUM(J26:K26)</f>
        <v>0</v>
      </c>
      <c r="M26" s="390">
        <f t="shared" ref="M26:M33" si="8">I26+L26</f>
        <v>203711277</v>
      </c>
    </row>
    <row r="27" spans="1:29" s="255" customFormat="1" ht="20.149999999999999" hidden="1" customHeight="1" outlineLevel="1" x14ac:dyDescent="0.55000000000000004">
      <c r="A27" s="261"/>
      <c r="B27" s="545" t="s">
        <v>20</v>
      </c>
      <c r="C27" s="579">
        <v>119558646</v>
      </c>
      <c r="D27" s="363">
        <v>67876981</v>
      </c>
      <c r="E27" s="363">
        <v>3801619</v>
      </c>
      <c r="F27" s="363">
        <v>1458265</v>
      </c>
      <c r="G27" s="363">
        <v>6614308</v>
      </c>
      <c r="H27" s="363">
        <v>104012210</v>
      </c>
      <c r="I27" s="364">
        <f t="shared" si="6"/>
        <v>303322029</v>
      </c>
      <c r="J27" s="363">
        <v>272278426</v>
      </c>
      <c r="K27" s="363"/>
      <c r="L27" s="364">
        <f t="shared" si="7"/>
        <v>272278426</v>
      </c>
      <c r="M27" s="390">
        <f t="shared" si="8"/>
        <v>575600455</v>
      </c>
    </row>
    <row r="28" spans="1:29" s="255" customFormat="1" ht="20.149999999999999" hidden="1" customHeight="1" outlineLevel="1" x14ac:dyDescent="0.55000000000000004">
      <c r="A28" s="261"/>
      <c r="B28" s="545" t="s">
        <v>21</v>
      </c>
      <c r="C28" s="579">
        <v>23772226</v>
      </c>
      <c r="D28" s="363">
        <v>27892022</v>
      </c>
      <c r="E28" s="363">
        <v>931983</v>
      </c>
      <c r="F28" s="363"/>
      <c r="G28" s="363">
        <v>474302</v>
      </c>
      <c r="H28" s="363">
        <v>19244506</v>
      </c>
      <c r="I28" s="364">
        <f t="shared" si="6"/>
        <v>72315039</v>
      </c>
      <c r="J28" s="363"/>
      <c r="K28" s="363">
        <v>24791086</v>
      </c>
      <c r="L28" s="364">
        <f t="shared" si="7"/>
        <v>24791086</v>
      </c>
      <c r="M28" s="390">
        <f t="shared" si="8"/>
        <v>97106125</v>
      </c>
    </row>
    <row r="29" spans="1:29" s="255" customFormat="1" ht="20.149999999999999" hidden="1" customHeight="1" outlineLevel="1" x14ac:dyDescent="0.55000000000000004">
      <c r="A29" s="261"/>
      <c r="B29" s="545" t="s">
        <v>22</v>
      </c>
      <c r="C29" s="579">
        <v>28505570</v>
      </c>
      <c r="D29" s="363">
        <v>19128586</v>
      </c>
      <c r="E29" s="363">
        <v>8409</v>
      </c>
      <c r="F29" s="363"/>
      <c r="G29" s="363">
        <v>708090</v>
      </c>
      <c r="H29" s="363">
        <v>20500487</v>
      </c>
      <c r="I29" s="364">
        <f t="shared" si="6"/>
        <v>68851142</v>
      </c>
      <c r="J29" s="363"/>
      <c r="K29" s="363">
        <v>53962</v>
      </c>
      <c r="L29" s="364">
        <f t="shared" si="7"/>
        <v>53962</v>
      </c>
      <c r="M29" s="390">
        <f t="shared" si="8"/>
        <v>68905104</v>
      </c>
    </row>
    <row r="30" spans="1:29" s="255" customFormat="1" ht="20.149999999999999" hidden="1" customHeight="1" outlineLevel="1" x14ac:dyDescent="0.55000000000000004">
      <c r="A30" s="261"/>
      <c r="B30" s="545" t="s">
        <v>23</v>
      </c>
      <c r="C30" s="579">
        <v>9723961</v>
      </c>
      <c r="D30" s="363">
        <v>14052107</v>
      </c>
      <c r="E30" s="363">
        <v>84342</v>
      </c>
      <c r="F30" s="363"/>
      <c r="G30" s="363">
        <v>140792</v>
      </c>
      <c r="H30" s="363">
        <v>6327490</v>
      </c>
      <c r="I30" s="364">
        <f t="shared" si="6"/>
        <v>30328692</v>
      </c>
      <c r="J30" s="363">
        <v>1664621</v>
      </c>
      <c r="K30" s="363">
        <v>3691646</v>
      </c>
      <c r="L30" s="364">
        <f t="shared" si="7"/>
        <v>5356267</v>
      </c>
      <c r="M30" s="390">
        <f t="shared" si="8"/>
        <v>35684959</v>
      </c>
    </row>
    <row r="31" spans="1:29" s="255" customFormat="1" ht="20.149999999999999" hidden="1" customHeight="1" outlineLevel="1" x14ac:dyDescent="0.55000000000000004">
      <c r="A31" s="261"/>
      <c r="B31" s="545" t="s">
        <v>24</v>
      </c>
      <c r="C31" s="579">
        <v>11202236</v>
      </c>
      <c r="D31" s="363">
        <v>9266449</v>
      </c>
      <c r="E31" s="363">
        <v>497958</v>
      </c>
      <c r="F31" s="363"/>
      <c r="G31" s="363">
        <v>161122</v>
      </c>
      <c r="H31" s="363">
        <v>8467674</v>
      </c>
      <c r="I31" s="364">
        <f t="shared" si="6"/>
        <v>29595439</v>
      </c>
      <c r="J31" s="363"/>
      <c r="K31" s="363"/>
      <c r="L31" s="364">
        <f t="shared" si="7"/>
        <v>0</v>
      </c>
      <c r="M31" s="390">
        <f t="shared" si="8"/>
        <v>29595439</v>
      </c>
    </row>
    <row r="32" spans="1:29" s="255" customFormat="1" ht="20.149999999999999" hidden="1" customHeight="1" outlineLevel="1" x14ac:dyDescent="0.55000000000000004">
      <c r="A32" s="261"/>
      <c r="B32" s="545" t="s">
        <v>25</v>
      </c>
      <c r="C32" s="579">
        <v>12657734</v>
      </c>
      <c r="D32" s="363">
        <v>4955460</v>
      </c>
      <c r="E32" s="363">
        <v>119373</v>
      </c>
      <c r="F32" s="363">
        <v>95</v>
      </c>
      <c r="G32" s="363">
        <v>29642</v>
      </c>
      <c r="H32" s="363">
        <v>7251077</v>
      </c>
      <c r="I32" s="364">
        <f t="shared" si="6"/>
        <v>25013381</v>
      </c>
      <c r="J32" s="363"/>
      <c r="K32" s="363"/>
      <c r="L32" s="364">
        <f t="shared" si="7"/>
        <v>0</v>
      </c>
      <c r="M32" s="390">
        <f t="shared" si="8"/>
        <v>25013381</v>
      </c>
    </row>
    <row r="33" spans="1:29" s="255" customFormat="1" ht="20.149999999999999" hidden="1" customHeight="1" outlineLevel="1" x14ac:dyDescent="0.55000000000000004">
      <c r="A33" s="261"/>
      <c r="B33" s="545" t="s">
        <v>26</v>
      </c>
      <c r="C33" s="579">
        <v>66088933</v>
      </c>
      <c r="D33" s="363">
        <v>146966707</v>
      </c>
      <c r="E33" s="363">
        <v>23087</v>
      </c>
      <c r="F33" s="363">
        <v>1421</v>
      </c>
      <c r="G33" s="363">
        <v>1151718</v>
      </c>
      <c r="H33" s="363">
        <v>40086476</v>
      </c>
      <c r="I33" s="364">
        <f t="shared" si="6"/>
        <v>254318342</v>
      </c>
      <c r="J33" s="363"/>
      <c r="K33" s="363"/>
      <c r="L33" s="364">
        <f t="shared" si="7"/>
        <v>0</v>
      </c>
      <c r="M33" s="390">
        <f t="shared" si="8"/>
        <v>254318342</v>
      </c>
    </row>
    <row r="34" spans="1:29" s="255" customFormat="1" ht="20.149999999999999" customHeight="1" collapsed="1" x14ac:dyDescent="0.55000000000000004">
      <c r="A34" s="21"/>
      <c r="B34" s="531" t="s">
        <v>1078</v>
      </c>
      <c r="C34" s="387">
        <v>331999512</v>
      </c>
      <c r="D34" s="366">
        <v>421526146</v>
      </c>
      <c r="E34" s="366">
        <f>6667524+106844-935459</f>
        <v>5838909</v>
      </c>
      <c r="F34" s="366">
        <v>752746</v>
      </c>
      <c r="G34" s="366">
        <v>11293924</v>
      </c>
      <c r="H34" s="366">
        <v>257649798</v>
      </c>
      <c r="I34" s="532">
        <f>SUM(C34:H34)</f>
        <v>1029061035</v>
      </c>
      <c r="J34" s="387">
        <v>274304754</v>
      </c>
      <c r="K34" s="366">
        <v>28916629</v>
      </c>
      <c r="L34" s="532">
        <f>SUM(J34:K34)</f>
        <v>303221383</v>
      </c>
      <c r="M34" s="384">
        <f>I34+L34</f>
        <v>1332282418</v>
      </c>
      <c r="N34" s="40"/>
      <c r="O34" s="40"/>
      <c r="P34" s="40"/>
      <c r="Q34" s="40"/>
      <c r="R34" s="40"/>
      <c r="S34" s="40"/>
      <c r="T34" s="40"/>
      <c r="U34" s="40"/>
      <c r="V34" s="40"/>
      <c r="W34" s="40"/>
      <c r="X34" s="40"/>
      <c r="Y34" s="40"/>
      <c r="Z34" s="40"/>
      <c r="AA34" s="40"/>
      <c r="AB34" s="40"/>
      <c r="AC34" s="40"/>
    </row>
    <row r="35" spans="1:29" ht="20.149999999999999" customHeight="1" x14ac:dyDescent="0.3">
      <c r="A35" s="2"/>
      <c r="B35" s="548" t="s">
        <v>1101</v>
      </c>
      <c r="C35" s="543"/>
      <c r="D35" s="543"/>
      <c r="E35" s="543"/>
      <c r="F35" s="543"/>
      <c r="G35" s="543"/>
      <c r="H35" s="543"/>
      <c r="I35" s="543"/>
      <c r="J35" s="543"/>
      <c r="K35" s="543"/>
      <c r="L35" s="543"/>
      <c r="M35" s="543"/>
    </row>
    <row r="36" spans="1:29" s="255" customFormat="1" ht="20.149999999999999" hidden="1" customHeight="1" outlineLevel="1" x14ac:dyDescent="0.55000000000000004">
      <c r="A36" s="34"/>
      <c r="B36" s="544" t="s">
        <v>18</v>
      </c>
      <c r="C36" s="387">
        <v>39002160</v>
      </c>
      <c r="D36" s="366">
        <v>75888672</v>
      </c>
      <c r="E36" s="366">
        <v>380275</v>
      </c>
      <c r="F36" s="366">
        <v>2617</v>
      </c>
      <c r="G36" s="366">
        <v>1668572</v>
      </c>
      <c r="H36" s="366">
        <v>16691751</v>
      </c>
      <c r="I36" s="532">
        <f t="shared" ref="I36:I44" si="9">SUM(C36:H36)</f>
        <v>133634047</v>
      </c>
      <c r="J36" s="387">
        <v>0</v>
      </c>
      <c r="K36" s="366">
        <v>0</v>
      </c>
      <c r="L36" s="532">
        <f t="shared" ref="L36:L44" si="10">SUM(J36:K36)</f>
        <v>0</v>
      </c>
      <c r="M36" s="384">
        <f t="shared" ref="M36:M44" si="11">I36+L36</f>
        <v>133634047</v>
      </c>
    </row>
    <row r="37" spans="1:29" s="255" customFormat="1" ht="20.149999999999999" hidden="1" customHeight="1" outlineLevel="1" x14ac:dyDescent="0.55000000000000004">
      <c r="A37" s="34"/>
      <c r="B37" s="545" t="s">
        <v>19</v>
      </c>
      <c r="C37" s="387">
        <v>28283432</v>
      </c>
      <c r="D37" s="366">
        <v>62359512</v>
      </c>
      <c r="E37" s="366">
        <v>113783</v>
      </c>
      <c r="F37" s="366">
        <v>0</v>
      </c>
      <c r="G37" s="366">
        <v>930324</v>
      </c>
      <c r="H37" s="366">
        <v>8361726</v>
      </c>
      <c r="I37" s="532">
        <f t="shared" si="9"/>
        <v>100048777</v>
      </c>
      <c r="J37" s="387">
        <v>0</v>
      </c>
      <c r="K37" s="366">
        <v>0</v>
      </c>
      <c r="L37" s="532">
        <f t="shared" si="10"/>
        <v>0</v>
      </c>
      <c r="M37" s="384">
        <f t="shared" si="11"/>
        <v>100048777</v>
      </c>
    </row>
    <row r="38" spans="1:29" s="255" customFormat="1" ht="20.149999999999999" hidden="1" customHeight="1" outlineLevel="1" x14ac:dyDescent="0.55000000000000004">
      <c r="A38" s="261"/>
      <c r="B38" s="545" t="s">
        <v>20</v>
      </c>
      <c r="C38" s="387">
        <v>114269947</v>
      </c>
      <c r="D38" s="366">
        <v>65790393</v>
      </c>
      <c r="E38" s="366">
        <f>4682120-935459</f>
        <v>3746661</v>
      </c>
      <c r="F38" s="366">
        <v>748115</v>
      </c>
      <c r="G38" s="366">
        <v>5958239</v>
      </c>
      <c r="H38" s="366">
        <v>130602562</v>
      </c>
      <c r="I38" s="532">
        <f t="shared" si="9"/>
        <v>321115917</v>
      </c>
      <c r="J38" s="387">
        <v>272630939</v>
      </c>
      <c r="K38" s="366">
        <v>0</v>
      </c>
      <c r="L38" s="532">
        <f t="shared" si="10"/>
        <v>272630939</v>
      </c>
      <c r="M38" s="384">
        <f t="shared" si="11"/>
        <v>593746856</v>
      </c>
    </row>
    <row r="39" spans="1:29" s="255" customFormat="1" ht="20.149999999999999" hidden="1" customHeight="1" outlineLevel="1" x14ac:dyDescent="0.55000000000000004">
      <c r="A39" s="261"/>
      <c r="B39" s="545" t="s">
        <v>21</v>
      </c>
      <c r="C39" s="387">
        <v>22844564</v>
      </c>
      <c r="D39" s="366">
        <v>28984888</v>
      </c>
      <c r="E39" s="366">
        <v>884964</v>
      </c>
      <c r="F39" s="366">
        <v>0</v>
      </c>
      <c r="G39" s="366">
        <v>489470</v>
      </c>
      <c r="H39" s="366">
        <v>18731671</v>
      </c>
      <c r="I39" s="532">
        <f t="shared" si="9"/>
        <v>71935557</v>
      </c>
      <c r="J39" s="387">
        <v>0</v>
      </c>
      <c r="K39" s="366">
        <v>25253345</v>
      </c>
      <c r="L39" s="532">
        <f t="shared" si="10"/>
        <v>25253345</v>
      </c>
      <c r="M39" s="384">
        <f t="shared" si="11"/>
        <v>97188902</v>
      </c>
    </row>
    <row r="40" spans="1:29" s="255" customFormat="1" ht="20.149999999999999" hidden="1" customHeight="1" outlineLevel="1" x14ac:dyDescent="0.55000000000000004">
      <c r="A40" s="261"/>
      <c r="B40" s="545" t="s">
        <v>22</v>
      </c>
      <c r="C40" s="387">
        <v>28861056</v>
      </c>
      <c r="D40" s="366">
        <v>19847048</v>
      </c>
      <c r="E40" s="366">
        <v>69</v>
      </c>
      <c r="F40" s="366">
        <v>0</v>
      </c>
      <c r="G40" s="366">
        <v>640496</v>
      </c>
      <c r="H40" s="366">
        <v>22992303</v>
      </c>
      <c r="I40" s="532">
        <f t="shared" si="9"/>
        <v>72340972</v>
      </c>
      <c r="J40" s="387">
        <v>0</v>
      </c>
      <c r="K40" s="366">
        <v>57030</v>
      </c>
      <c r="L40" s="532">
        <f t="shared" si="10"/>
        <v>57030</v>
      </c>
      <c r="M40" s="384">
        <f t="shared" si="11"/>
        <v>72398002</v>
      </c>
    </row>
    <row r="41" spans="1:29" s="255" customFormat="1" ht="20.149999999999999" hidden="1" customHeight="1" outlineLevel="1" x14ac:dyDescent="0.55000000000000004">
      <c r="A41" s="261"/>
      <c r="B41" s="545" t="s">
        <v>23</v>
      </c>
      <c r="C41" s="387">
        <v>8630163</v>
      </c>
      <c r="D41" s="366">
        <v>13087975</v>
      </c>
      <c r="E41" s="366">
        <v>127898</v>
      </c>
      <c r="F41" s="366">
        <v>0</v>
      </c>
      <c r="G41" s="366">
        <v>243823</v>
      </c>
      <c r="H41" s="366">
        <v>6221873</v>
      </c>
      <c r="I41" s="532">
        <f t="shared" si="9"/>
        <v>28311732</v>
      </c>
      <c r="J41" s="387">
        <v>1673815</v>
      </c>
      <c r="K41" s="366">
        <v>3606254</v>
      </c>
      <c r="L41" s="532">
        <f t="shared" si="10"/>
        <v>5280069</v>
      </c>
      <c r="M41" s="384">
        <f t="shared" si="11"/>
        <v>33591801</v>
      </c>
    </row>
    <row r="42" spans="1:29" s="255" customFormat="1" ht="20.149999999999999" hidden="1" customHeight="1" outlineLevel="1" x14ac:dyDescent="0.55000000000000004">
      <c r="A42" s="261"/>
      <c r="B42" s="545" t="s">
        <v>24</v>
      </c>
      <c r="C42" s="387">
        <v>11313594</v>
      </c>
      <c r="D42" s="366">
        <v>9584832</v>
      </c>
      <c r="E42" s="366">
        <v>468125</v>
      </c>
      <c r="F42" s="366">
        <v>0</v>
      </c>
      <c r="G42" s="366">
        <v>152189</v>
      </c>
      <c r="H42" s="366">
        <v>8293400</v>
      </c>
      <c r="I42" s="532">
        <f t="shared" si="9"/>
        <v>29812140</v>
      </c>
      <c r="J42" s="387">
        <v>0</v>
      </c>
      <c r="K42" s="366">
        <v>0</v>
      </c>
      <c r="L42" s="532">
        <f t="shared" si="10"/>
        <v>0</v>
      </c>
      <c r="M42" s="384">
        <f t="shared" si="11"/>
        <v>29812140</v>
      </c>
    </row>
    <row r="43" spans="1:29" s="255" customFormat="1" ht="20.149999999999999" hidden="1" customHeight="1" outlineLevel="1" x14ac:dyDescent="0.55000000000000004">
      <c r="A43" s="261"/>
      <c r="B43" s="545" t="s">
        <v>25</v>
      </c>
      <c r="C43" s="387">
        <v>13594412</v>
      </c>
      <c r="D43" s="366">
        <v>5051061</v>
      </c>
      <c r="E43" s="366">
        <v>89358</v>
      </c>
      <c r="F43" s="366">
        <v>204</v>
      </c>
      <c r="G43" s="366">
        <v>23851</v>
      </c>
      <c r="H43" s="366">
        <v>7584790</v>
      </c>
      <c r="I43" s="532">
        <f t="shared" si="9"/>
        <v>26343676</v>
      </c>
      <c r="J43" s="387">
        <v>0</v>
      </c>
      <c r="K43" s="366">
        <v>0</v>
      </c>
      <c r="L43" s="532">
        <f t="shared" si="10"/>
        <v>0</v>
      </c>
      <c r="M43" s="384">
        <f t="shared" si="11"/>
        <v>26343676</v>
      </c>
    </row>
    <row r="44" spans="1:29" s="255" customFormat="1" ht="20.149999999999999" hidden="1" customHeight="1" outlineLevel="1" x14ac:dyDescent="0.55000000000000004">
      <c r="A44" s="261"/>
      <c r="B44" s="545" t="s">
        <v>26</v>
      </c>
      <c r="C44" s="387">
        <v>65200184</v>
      </c>
      <c r="D44" s="366">
        <v>140931766</v>
      </c>
      <c r="E44" s="366">
        <v>27777</v>
      </c>
      <c r="F44" s="366">
        <v>1809</v>
      </c>
      <c r="G44" s="366">
        <v>1186961</v>
      </c>
      <c r="H44" s="366">
        <v>38169724</v>
      </c>
      <c r="I44" s="532">
        <f t="shared" si="9"/>
        <v>245518221</v>
      </c>
      <c r="J44" s="387">
        <v>0</v>
      </c>
      <c r="K44" s="366">
        <v>0</v>
      </c>
      <c r="L44" s="532">
        <f t="shared" si="10"/>
        <v>0</v>
      </c>
      <c r="M44" s="384">
        <f t="shared" si="11"/>
        <v>245518221</v>
      </c>
    </row>
    <row r="45" spans="1:29" s="255" customFormat="1" ht="20.149999999999999" customHeight="1" collapsed="1" x14ac:dyDescent="0.55000000000000004">
      <c r="A45" s="21"/>
      <c r="B45" s="531" t="s">
        <v>1079</v>
      </c>
      <c r="C45" s="387">
        <v>304303108</v>
      </c>
      <c r="D45" s="366">
        <v>416498595</v>
      </c>
      <c r="E45" s="366">
        <v>5959412</v>
      </c>
      <c r="F45" s="366">
        <v>775700</v>
      </c>
      <c r="G45" s="366">
        <v>11062322</v>
      </c>
      <c r="H45" s="366">
        <v>185215539</v>
      </c>
      <c r="I45" s="532">
        <f>SUM(C45:H45)</f>
        <v>923814676</v>
      </c>
      <c r="J45" s="387">
        <v>267144454</v>
      </c>
      <c r="K45" s="366">
        <v>29161066</v>
      </c>
      <c r="L45" s="532">
        <f>SUM(J45:K45)</f>
        <v>296305520</v>
      </c>
      <c r="M45" s="384">
        <f>I45+L45</f>
        <v>1220120196</v>
      </c>
      <c r="N45" s="40"/>
      <c r="O45" s="40"/>
      <c r="P45" s="40"/>
      <c r="Q45" s="40"/>
      <c r="R45" s="40"/>
      <c r="S45" s="40"/>
      <c r="T45" s="40"/>
      <c r="U45" s="40"/>
      <c r="V45" s="40"/>
      <c r="W45" s="40"/>
      <c r="X45" s="40"/>
      <c r="Y45" s="40"/>
      <c r="Z45" s="40"/>
      <c r="AA45" s="40"/>
      <c r="AB45" s="40"/>
      <c r="AC45" s="40"/>
    </row>
    <row r="46" spans="1:29" ht="20.149999999999999" customHeight="1" x14ac:dyDescent="0.3">
      <c r="A46" s="2"/>
      <c r="B46" s="548" t="s">
        <v>1101</v>
      </c>
      <c r="C46" s="543"/>
      <c r="D46" s="543"/>
      <c r="E46" s="543"/>
      <c r="F46" s="543"/>
      <c r="G46" s="543"/>
      <c r="H46" s="543"/>
      <c r="I46" s="543"/>
      <c r="J46" s="543"/>
      <c r="K46" s="543"/>
      <c r="L46" s="543"/>
      <c r="M46" s="543"/>
    </row>
    <row r="47" spans="1:29" s="255" customFormat="1" ht="20.149999999999999" hidden="1" customHeight="1" outlineLevel="1" x14ac:dyDescent="0.55000000000000004">
      <c r="A47" s="34"/>
      <c r="B47" s="544" t="s">
        <v>18</v>
      </c>
      <c r="C47" s="387">
        <v>38810005</v>
      </c>
      <c r="D47" s="366">
        <v>75492202</v>
      </c>
      <c r="E47" s="366">
        <v>415942</v>
      </c>
      <c r="F47" s="366">
        <v>0</v>
      </c>
      <c r="G47" s="366">
        <v>1809560</v>
      </c>
      <c r="H47" s="366">
        <v>17942718</v>
      </c>
      <c r="I47" s="532">
        <f t="shared" ref="I47:I55" si="12">SUM(C47:H47)</f>
        <v>134470427</v>
      </c>
      <c r="J47" s="387">
        <v>0</v>
      </c>
      <c r="K47" s="366">
        <v>0</v>
      </c>
      <c r="L47" s="532">
        <f t="shared" ref="L47:L55" si="13">SUM(J47:K47)</f>
        <v>0</v>
      </c>
      <c r="M47" s="384">
        <f t="shared" ref="M47:M55" si="14">I47+L47</f>
        <v>134470427</v>
      </c>
    </row>
    <row r="48" spans="1:29" s="255" customFormat="1" ht="20.149999999999999" hidden="1" customHeight="1" outlineLevel="1" x14ac:dyDescent="0.55000000000000004">
      <c r="A48" s="34"/>
      <c r="B48" s="545" t="s">
        <v>19</v>
      </c>
      <c r="C48" s="387">
        <v>27781772</v>
      </c>
      <c r="D48" s="366">
        <v>65494207</v>
      </c>
      <c r="E48" s="366">
        <v>146999</v>
      </c>
      <c r="F48" s="366">
        <v>0</v>
      </c>
      <c r="G48" s="366">
        <v>1054394</v>
      </c>
      <c r="H48" s="366">
        <v>8087788</v>
      </c>
      <c r="I48" s="532">
        <f t="shared" si="12"/>
        <v>102565160</v>
      </c>
      <c r="J48" s="387">
        <v>0</v>
      </c>
      <c r="K48" s="366">
        <v>0</v>
      </c>
      <c r="L48" s="532">
        <f t="shared" si="13"/>
        <v>0</v>
      </c>
      <c r="M48" s="384">
        <f t="shared" si="14"/>
        <v>102565160</v>
      </c>
    </row>
    <row r="49" spans="1:29" s="255" customFormat="1" ht="20.149999999999999" hidden="1" customHeight="1" outlineLevel="1" x14ac:dyDescent="0.55000000000000004">
      <c r="A49" s="261"/>
      <c r="B49" s="545" t="s">
        <v>20</v>
      </c>
      <c r="C49" s="387">
        <v>104233346</v>
      </c>
      <c r="D49" s="366">
        <v>64920397</v>
      </c>
      <c r="E49" s="366">
        <v>3904304</v>
      </c>
      <c r="F49" s="366">
        <v>772453</v>
      </c>
      <c r="G49" s="366">
        <v>5765218</v>
      </c>
      <c r="H49" s="366">
        <v>61591420</v>
      </c>
      <c r="I49" s="532">
        <f t="shared" si="12"/>
        <v>241187138</v>
      </c>
      <c r="J49" s="387">
        <v>265630911</v>
      </c>
      <c r="K49" s="366">
        <v>0</v>
      </c>
      <c r="L49" s="532">
        <f t="shared" si="13"/>
        <v>265630911</v>
      </c>
      <c r="M49" s="384">
        <f t="shared" si="14"/>
        <v>506818049</v>
      </c>
    </row>
    <row r="50" spans="1:29" s="255" customFormat="1" ht="20.149999999999999" hidden="1" customHeight="1" outlineLevel="1" x14ac:dyDescent="0.55000000000000004">
      <c r="A50" s="261"/>
      <c r="B50" s="545" t="s">
        <v>21</v>
      </c>
      <c r="C50" s="387">
        <v>21443793</v>
      </c>
      <c r="D50" s="366">
        <v>29182667</v>
      </c>
      <c r="E50" s="366">
        <v>804132</v>
      </c>
      <c r="F50" s="366">
        <v>0</v>
      </c>
      <c r="G50" s="366">
        <v>460277</v>
      </c>
      <c r="H50" s="366">
        <v>16715207</v>
      </c>
      <c r="I50" s="532">
        <f t="shared" si="12"/>
        <v>68606076</v>
      </c>
      <c r="J50" s="387">
        <v>0</v>
      </c>
      <c r="K50" s="366">
        <v>25498644</v>
      </c>
      <c r="L50" s="532">
        <f t="shared" si="13"/>
        <v>25498644</v>
      </c>
      <c r="M50" s="384">
        <f t="shared" si="14"/>
        <v>94104720</v>
      </c>
    </row>
    <row r="51" spans="1:29" s="255" customFormat="1" ht="20.149999999999999" hidden="1" customHeight="1" outlineLevel="1" x14ac:dyDescent="0.55000000000000004">
      <c r="A51" s="261"/>
      <c r="B51" s="545" t="s">
        <v>22</v>
      </c>
      <c r="C51" s="387">
        <v>26662329</v>
      </c>
      <c r="D51" s="366">
        <v>17196929</v>
      </c>
      <c r="E51" s="366">
        <v>5497</v>
      </c>
      <c r="F51" s="366">
        <v>0</v>
      </c>
      <c r="G51" s="366">
        <v>614666</v>
      </c>
      <c r="H51" s="366">
        <v>23769366</v>
      </c>
      <c r="I51" s="532">
        <f t="shared" si="12"/>
        <v>68248787</v>
      </c>
      <c r="J51" s="387">
        <v>0</v>
      </c>
      <c r="K51" s="366">
        <v>60060</v>
      </c>
      <c r="L51" s="532">
        <f t="shared" si="13"/>
        <v>60060</v>
      </c>
      <c r="M51" s="384">
        <f t="shared" si="14"/>
        <v>68308847</v>
      </c>
    </row>
    <row r="52" spans="1:29" s="255" customFormat="1" ht="20.149999999999999" hidden="1" customHeight="1" outlineLevel="1" x14ac:dyDescent="0.55000000000000004">
      <c r="A52" s="261"/>
      <c r="B52" s="545" t="s">
        <v>23</v>
      </c>
      <c r="C52" s="387">
        <v>7964678</v>
      </c>
      <c r="D52" s="366">
        <v>12833729</v>
      </c>
      <c r="E52" s="366">
        <v>55659</v>
      </c>
      <c r="F52" s="366">
        <v>0</v>
      </c>
      <c r="G52" s="366">
        <v>231416</v>
      </c>
      <c r="H52" s="366">
        <v>5878485</v>
      </c>
      <c r="I52" s="532">
        <f t="shared" si="12"/>
        <v>26963967</v>
      </c>
      <c r="J52" s="387">
        <v>1513543</v>
      </c>
      <c r="K52" s="366">
        <v>3602362</v>
      </c>
      <c r="L52" s="532">
        <f t="shared" si="13"/>
        <v>5115905</v>
      </c>
      <c r="M52" s="384">
        <f t="shared" si="14"/>
        <v>32079872</v>
      </c>
    </row>
    <row r="53" spans="1:29" s="255" customFormat="1" ht="20.149999999999999" hidden="1" customHeight="1" outlineLevel="1" x14ac:dyDescent="0.55000000000000004">
      <c r="A53" s="261"/>
      <c r="B53" s="545" t="s">
        <v>24</v>
      </c>
      <c r="C53" s="387">
        <v>10618698</v>
      </c>
      <c r="D53" s="366">
        <v>9840074</v>
      </c>
      <c r="E53" s="366">
        <v>546011</v>
      </c>
      <c r="F53" s="366">
        <v>0</v>
      </c>
      <c r="G53" s="366">
        <v>170533</v>
      </c>
      <c r="H53" s="366">
        <v>7627640</v>
      </c>
      <c r="I53" s="532">
        <f t="shared" si="12"/>
        <v>28802956</v>
      </c>
      <c r="J53" s="387">
        <v>0</v>
      </c>
      <c r="K53" s="366">
        <v>0</v>
      </c>
      <c r="L53" s="532">
        <f t="shared" si="13"/>
        <v>0</v>
      </c>
      <c r="M53" s="384">
        <f t="shared" si="14"/>
        <v>28802956</v>
      </c>
    </row>
    <row r="54" spans="1:29" s="255" customFormat="1" ht="20.149999999999999" hidden="1" customHeight="1" outlineLevel="1" x14ac:dyDescent="0.55000000000000004">
      <c r="A54" s="261"/>
      <c r="B54" s="545" t="s">
        <v>25</v>
      </c>
      <c r="C54" s="387">
        <v>12586371</v>
      </c>
      <c r="D54" s="366">
        <v>4472385</v>
      </c>
      <c r="E54" s="366">
        <v>57632</v>
      </c>
      <c r="F54" s="366">
        <v>938</v>
      </c>
      <c r="G54" s="366">
        <v>26720</v>
      </c>
      <c r="H54" s="366">
        <v>6748448</v>
      </c>
      <c r="I54" s="532">
        <f t="shared" si="12"/>
        <v>23892494</v>
      </c>
      <c r="J54" s="387">
        <v>0</v>
      </c>
      <c r="K54" s="366">
        <v>0</v>
      </c>
      <c r="L54" s="532">
        <f t="shared" si="13"/>
        <v>0</v>
      </c>
      <c r="M54" s="384">
        <f t="shared" si="14"/>
        <v>23892494</v>
      </c>
    </row>
    <row r="55" spans="1:29" s="255" customFormat="1" ht="20.149999999999999" hidden="1" customHeight="1" outlineLevel="1" x14ac:dyDescent="0.55000000000000004">
      <c r="A55" s="261"/>
      <c r="B55" s="545" t="s">
        <v>26</v>
      </c>
      <c r="C55" s="387">
        <v>54202116</v>
      </c>
      <c r="D55" s="366">
        <v>137066005</v>
      </c>
      <c r="E55" s="366">
        <v>23235</v>
      </c>
      <c r="F55" s="366">
        <v>2309</v>
      </c>
      <c r="G55" s="366">
        <v>929538</v>
      </c>
      <c r="H55" s="366">
        <v>36854466</v>
      </c>
      <c r="I55" s="532">
        <f t="shared" si="12"/>
        <v>229077669</v>
      </c>
      <c r="J55" s="387">
        <v>0</v>
      </c>
      <c r="K55" s="366">
        <v>0</v>
      </c>
      <c r="L55" s="532">
        <f t="shared" si="13"/>
        <v>0</v>
      </c>
      <c r="M55" s="384">
        <f t="shared" si="14"/>
        <v>229077669</v>
      </c>
    </row>
    <row r="56" spans="1:29" s="255" customFormat="1" ht="20.149999999999999" customHeight="1" collapsed="1" x14ac:dyDescent="0.55000000000000004">
      <c r="A56" s="21"/>
      <c r="B56" s="354" t="s">
        <v>1</v>
      </c>
      <c r="C56" s="355">
        <v>320832921</v>
      </c>
      <c r="D56" s="356">
        <v>428802081</v>
      </c>
      <c r="E56" s="356">
        <v>5813779</v>
      </c>
      <c r="F56" s="356">
        <v>1177868</v>
      </c>
      <c r="G56" s="356">
        <v>12382723</v>
      </c>
      <c r="H56" s="356">
        <v>204749762</v>
      </c>
      <c r="I56" s="357">
        <f>SUM(C56:H56)</f>
        <v>973759134</v>
      </c>
      <c r="J56" s="355">
        <v>262201523</v>
      </c>
      <c r="K56" s="356">
        <v>29190082</v>
      </c>
      <c r="L56" s="357">
        <f>SUM(J56:K56)</f>
        <v>291391605</v>
      </c>
      <c r="M56" s="385">
        <f>I56+L56</f>
        <v>1265150739</v>
      </c>
      <c r="N56" s="40"/>
      <c r="O56" s="40"/>
      <c r="P56" s="40"/>
      <c r="Q56" s="40"/>
      <c r="R56" s="40"/>
      <c r="S56" s="40"/>
      <c r="T56" s="40"/>
      <c r="U56" s="40"/>
      <c r="V56" s="40"/>
      <c r="W56" s="40"/>
      <c r="X56" s="40"/>
      <c r="Y56" s="40"/>
      <c r="Z56" s="40"/>
      <c r="AA56" s="40"/>
      <c r="AB56" s="40"/>
      <c r="AC56" s="40"/>
    </row>
    <row r="57" spans="1:29" ht="20.149999999999999" customHeight="1" x14ac:dyDescent="0.3">
      <c r="A57" s="2"/>
      <c r="B57" s="548" t="s">
        <v>1101</v>
      </c>
      <c r="C57" s="543"/>
      <c r="D57" s="543"/>
      <c r="E57" s="543"/>
      <c r="F57" s="543"/>
      <c r="G57" s="543"/>
      <c r="H57" s="543"/>
      <c r="I57" s="543"/>
      <c r="J57" s="543"/>
      <c r="K57" s="543"/>
      <c r="L57" s="543"/>
      <c r="M57" s="543"/>
    </row>
    <row r="58" spans="1:29" s="255" customFormat="1" ht="20.149999999999999" hidden="1" customHeight="1" outlineLevel="1" x14ac:dyDescent="0.55000000000000004">
      <c r="A58" s="34"/>
      <c r="B58" s="544" t="s">
        <v>18</v>
      </c>
      <c r="C58" s="355">
        <v>37468147</v>
      </c>
      <c r="D58" s="356">
        <v>78870851</v>
      </c>
      <c r="E58" s="356">
        <v>440442</v>
      </c>
      <c r="F58" s="356">
        <v>0</v>
      </c>
      <c r="G58" s="356">
        <v>1835711</v>
      </c>
      <c r="H58" s="356">
        <v>20664409</v>
      </c>
      <c r="I58" s="357">
        <f t="shared" ref="I58:I66" si="15">SUM(C58:H58)</f>
        <v>139279560</v>
      </c>
      <c r="J58" s="355">
        <v>0</v>
      </c>
      <c r="K58" s="356">
        <v>0</v>
      </c>
      <c r="L58" s="357">
        <f t="shared" ref="L58:L66" si="16">SUM(J58:K58)</f>
        <v>0</v>
      </c>
      <c r="M58" s="385">
        <f t="shared" ref="M58:M66" si="17">I58+L58</f>
        <v>139279560</v>
      </c>
    </row>
    <row r="59" spans="1:29" s="255" customFormat="1" ht="20.149999999999999" hidden="1" customHeight="1" outlineLevel="1" x14ac:dyDescent="0.55000000000000004">
      <c r="A59" s="34"/>
      <c r="B59" s="545" t="s">
        <v>19</v>
      </c>
      <c r="C59" s="355">
        <v>28750805</v>
      </c>
      <c r="D59" s="356">
        <v>58797444</v>
      </c>
      <c r="E59" s="356">
        <v>174579</v>
      </c>
      <c r="F59" s="356">
        <v>0</v>
      </c>
      <c r="G59" s="356">
        <v>992718</v>
      </c>
      <c r="H59" s="356">
        <v>8843309</v>
      </c>
      <c r="I59" s="357">
        <f t="shared" si="15"/>
        <v>97558855</v>
      </c>
      <c r="J59" s="355">
        <v>0</v>
      </c>
      <c r="K59" s="356">
        <v>0</v>
      </c>
      <c r="L59" s="357">
        <f t="shared" si="16"/>
        <v>0</v>
      </c>
      <c r="M59" s="385">
        <f t="shared" si="17"/>
        <v>97558855</v>
      </c>
    </row>
    <row r="60" spans="1:29" s="255" customFormat="1" ht="20.149999999999999" hidden="1" customHeight="1" outlineLevel="1" x14ac:dyDescent="0.55000000000000004">
      <c r="A60" s="261"/>
      <c r="B60" s="545" t="s">
        <v>20</v>
      </c>
      <c r="C60" s="355">
        <v>108412502</v>
      </c>
      <c r="D60" s="356">
        <v>66282176</v>
      </c>
      <c r="E60" s="356">
        <v>3535939</v>
      </c>
      <c r="F60" s="356">
        <v>1175032</v>
      </c>
      <c r="G60" s="356">
        <v>6106240</v>
      </c>
      <c r="H60" s="356">
        <v>68245705</v>
      </c>
      <c r="I60" s="357">
        <f t="shared" si="15"/>
        <v>253757594</v>
      </c>
      <c r="J60" s="355">
        <v>260581806</v>
      </c>
      <c r="K60" s="356">
        <v>0</v>
      </c>
      <c r="L60" s="357">
        <f t="shared" si="16"/>
        <v>260581806</v>
      </c>
      <c r="M60" s="385">
        <f t="shared" si="17"/>
        <v>514339400</v>
      </c>
    </row>
    <row r="61" spans="1:29" s="255" customFormat="1" ht="20.149999999999999" hidden="1" customHeight="1" outlineLevel="1" x14ac:dyDescent="0.55000000000000004">
      <c r="A61" s="261"/>
      <c r="B61" s="545" t="s">
        <v>21</v>
      </c>
      <c r="C61" s="355">
        <v>21161882</v>
      </c>
      <c r="D61" s="356">
        <v>34596425</v>
      </c>
      <c r="E61" s="356">
        <v>906811</v>
      </c>
      <c r="F61" s="356">
        <v>0</v>
      </c>
      <c r="G61" s="356">
        <v>424226</v>
      </c>
      <c r="H61" s="356">
        <v>18273350</v>
      </c>
      <c r="I61" s="357">
        <f t="shared" si="15"/>
        <v>75362694</v>
      </c>
      <c r="J61" s="355">
        <v>0</v>
      </c>
      <c r="K61" s="356">
        <v>25457325</v>
      </c>
      <c r="L61" s="357">
        <f t="shared" si="16"/>
        <v>25457325</v>
      </c>
      <c r="M61" s="385">
        <f t="shared" si="17"/>
        <v>100820019</v>
      </c>
    </row>
    <row r="62" spans="1:29" s="255" customFormat="1" ht="20.149999999999999" hidden="1" customHeight="1" outlineLevel="1" x14ac:dyDescent="0.55000000000000004">
      <c r="A62" s="261"/>
      <c r="B62" s="545" t="s">
        <v>22</v>
      </c>
      <c r="C62" s="355">
        <v>35261035</v>
      </c>
      <c r="D62" s="356">
        <v>20251654</v>
      </c>
      <c r="E62" s="356">
        <v>893</v>
      </c>
      <c r="F62" s="356">
        <v>118</v>
      </c>
      <c r="G62" s="356">
        <v>1558488</v>
      </c>
      <c r="H62" s="356">
        <v>29522329</v>
      </c>
      <c r="I62" s="357">
        <f t="shared" si="15"/>
        <v>86594517</v>
      </c>
      <c r="J62" s="355">
        <v>0</v>
      </c>
      <c r="K62" s="356">
        <v>63311</v>
      </c>
      <c r="L62" s="357">
        <f t="shared" si="16"/>
        <v>63311</v>
      </c>
      <c r="M62" s="385">
        <f t="shared" si="17"/>
        <v>86657828</v>
      </c>
    </row>
    <row r="63" spans="1:29" s="255" customFormat="1" ht="20.149999999999999" hidden="1" customHeight="1" outlineLevel="1" x14ac:dyDescent="0.55000000000000004">
      <c r="A63" s="261"/>
      <c r="B63" s="545" t="s">
        <v>23</v>
      </c>
      <c r="C63" s="355">
        <v>8199270</v>
      </c>
      <c r="D63" s="356">
        <v>13906932</v>
      </c>
      <c r="E63" s="356">
        <v>82864</v>
      </c>
      <c r="F63" s="356">
        <v>0</v>
      </c>
      <c r="G63" s="356">
        <v>264376</v>
      </c>
      <c r="H63" s="356">
        <v>6105686</v>
      </c>
      <c r="I63" s="357">
        <f t="shared" si="15"/>
        <v>28559128</v>
      </c>
      <c r="J63" s="355">
        <v>1619717</v>
      </c>
      <c r="K63" s="356">
        <v>3669446</v>
      </c>
      <c r="L63" s="357">
        <f t="shared" si="16"/>
        <v>5289163</v>
      </c>
      <c r="M63" s="385">
        <f t="shared" si="17"/>
        <v>33848291</v>
      </c>
    </row>
    <row r="64" spans="1:29" s="255" customFormat="1" ht="20.149999999999999" hidden="1" customHeight="1" outlineLevel="1" x14ac:dyDescent="0.55000000000000004">
      <c r="A64" s="261"/>
      <c r="B64" s="545" t="s">
        <v>24</v>
      </c>
      <c r="C64" s="355">
        <v>10917680</v>
      </c>
      <c r="D64" s="356">
        <v>10881537</v>
      </c>
      <c r="E64" s="356">
        <v>572492</v>
      </c>
      <c r="F64" s="356">
        <v>0</v>
      </c>
      <c r="G64" s="356">
        <v>163574</v>
      </c>
      <c r="H64" s="356">
        <v>8024126</v>
      </c>
      <c r="I64" s="357">
        <f t="shared" si="15"/>
        <v>30559409</v>
      </c>
      <c r="J64" s="355">
        <v>0</v>
      </c>
      <c r="K64" s="356">
        <v>0</v>
      </c>
      <c r="L64" s="357">
        <f t="shared" si="16"/>
        <v>0</v>
      </c>
      <c r="M64" s="385">
        <f t="shared" si="17"/>
        <v>30559409</v>
      </c>
    </row>
    <row r="65" spans="1:29" s="255" customFormat="1" ht="20.149999999999999" hidden="1" customHeight="1" outlineLevel="1" x14ac:dyDescent="0.55000000000000004">
      <c r="A65" s="261"/>
      <c r="B65" s="545" t="s">
        <v>25</v>
      </c>
      <c r="C65" s="355">
        <v>13361544</v>
      </c>
      <c r="D65" s="356">
        <v>4175692</v>
      </c>
      <c r="E65" s="356">
        <v>73297</v>
      </c>
      <c r="F65" s="356">
        <v>0</v>
      </c>
      <c r="G65" s="356">
        <v>27330</v>
      </c>
      <c r="H65" s="356">
        <v>7730316</v>
      </c>
      <c r="I65" s="357">
        <f t="shared" si="15"/>
        <v>25368179</v>
      </c>
      <c r="J65" s="355">
        <v>0</v>
      </c>
      <c r="K65" s="356">
        <v>0</v>
      </c>
      <c r="L65" s="357">
        <f t="shared" si="16"/>
        <v>0</v>
      </c>
      <c r="M65" s="385">
        <f t="shared" si="17"/>
        <v>25368179</v>
      </c>
    </row>
    <row r="66" spans="1:29" s="255" customFormat="1" ht="20.149999999999999" hidden="1" customHeight="1" outlineLevel="1" x14ac:dyDescent="0.55000000000000004">
      <c r="A66" s="261"/>
      <c r="B66" s="545" t="s">
        <v>26</v>
      </c>
      <c r="C66" s="355">
        <v>57300057</v>
      </c>
      <c r="D66" s="356">
        <v>141039371</v>
      </c>
      <c r="E66" s="356">
        <v>26462</v>
      </c>
      <c r="F66" s="356">
        <v>2717</v>
      </c>
      <c r="G66" s="356">
        <v>1010060</v>
      </c>
      <c r="H66" s="356">
        <v>37340532</v>
      </c>
      <c r="I66" s="357">
        <f t="shared" si="15"/>
        <v>236719199</v>
      </c>
      <c r="J66" s="355">
        <v>0</v>
      </c>
      <c r="K66" s="356">
        <v>0</v>
      </c>
      <c r="L66" s="357">
        <f t="shared" si="16"/>
        <v>0</v>
      </c>
      <c r="M66" s="385">
        <f t="shared" si="17"/>
        <v>236719199</v>
      </c>
    </row>
    <row r="67" spans="1:29" s="255" customFormat="1" ht="20.149999999999999" customHeight="1" collapsed="1" x14ac:dyDescent="0.55000000000000004">
      <c r="A67" s="21"/>
      <c r="B67" s="354" t="s">
        <v>127</v>
      </c>
      <c r="C67" s="355">
        <v>307358030</v>
      </c>
      <c r="D67" s="356">
        <v>422749758</v>
      </c>
      <c r="E67" s="356">
        <v>6517919</v>
      </c>
      <c r="F67" s="356">
        <v>1968818</v>
      </c>
      <c r="G67" s="356">
        <v>12291149</v>
      </c>
      <c r="H67" s="356">
        <v>204591193</v>
      </c>
      <c r="I67" s="357">
        <f t="shared" ref="I67:I79" si="18">SUM(C67:H67)</f>
        <v>955476867</v>
      </c>
      <c r="J67" s="355">
        <v>265925269</v>
      </c>
      <c r="K67" s="356">
        <v>27524088</v>
      </c>
      <c r="L67" s="357">
        <f t="shared" ref="L67:L79" si="19">SUM(J67:K67)</f>
        <v>293449357</v>
      </c>
      <c r="M67" s="385">
        <f t="shared" ref="M67:M79" si="20">I67+L67</f>
        <v>1248926224</v>
      </c>
      <c r="N67" s="40"/>
      <c r="O67" s="40"/>
      <c r="P67" s="40"/>
      <c r="Q67" s="40"/>
      <c r="R67" s="40"/>
      <c r="S67" s="40"/>
      <c r="T67" s="40"/>
      <c r="U67" s="40"/>
      <c r="V67" s="40"/>
      <c r="W67" s="40"/>
      <c r="X67" s="40"/>
      <c r="Y67" s="40"/>
      <c r="Z67" s="40"/>
      <c r="AA67" s="40"/>
      <c r="AB67" s="40"/>
      <c r="AC67" s="40"/>
    </row>
    <row r="68" spans="1:29" ht="20.149999999999999" customHeight="1" x14ac:dyDescent="0.3">
      <c r="A68" s="2"/>
      <c r="B68" s="548" t="s">
        <v>1101</v>
      </c>
      <c r="C68" s="543"/>
      <c r="D68" s="543"/>
      <c r="E68" s="543"/>
      <c r="F68" s="543"/>
      <c r="G68" s="543"/>
      <c r="H68" s="543"/>
      <c r="I68" s="543"/>
      <c r="J68" s="543"/>
      <c r="K68" s="543"/>
      <c r="L68" s="543"/>
      <c r="M68" s="543"/>
    </row>
    <row r="69" spans="1:29" s="255" customFormat="1" ht="20.149999999999999" hidden="1" customHeight="1" outlineLevel="1" x14ac:dyDescent="0.55000000000000004">
      <c r="A69" s="34"/>
      <c r="B69" s="544" t="s">
        <v>18</v>
      </c>
      <c r="C69" s="360">
        <v>35945800</v>
      </c>
      <c r="D69" s="361">
        <v>81193497</v>
      </c>
      <c r="E69" s="361">
        <v>499945</v>
      </c>
      <c r="F69" s="361">
        <v>0</v>
      </c>
      <c r="G69" s="361">
        <v>1779272</v>
      </c>
      <c r="H69" s="361">
        <v>17668428</v>
      </c>
      <c r="I69" s="362">
        <f t="shared" ref="I69:I77" si="21">SUM(C69:H69)</f>
        <v>137086942</v>
      </c>
      <c r="J69" s="360">
        <v>0</v>
      </c>
      <c r="K69" s="361">
        <v>0</v>
      </c>
      <c r="L69" s="362">
        <f t="shared" ref="L69:L77" si="22">SUM(J69:K69)</f>
        <v>0</v>
      </c>
      <c r="M69" s="391">
        <f t="shared" ref="M69:M77" si="23">I69+L69</f>
        <v>137086942</v>
      </c>
    </row>
    <row r="70" spans="1:29" s="255" customFormat="1" ht="20.149999999999999" hidden="1" customHeight="1" outlineLevel="1" x14ac:dyDescent="0.55000000000000004">
      <c r="A70" s="34"/>
      <c r="B70" s="545" t="s">
        <v>19</v>
      </c>
      <c r="C70" s="360">
        <v>28495774</v>
      </c>
      <c r="D70" s="361">
        <v>57058881</v>
      </c>
      <c r="E70" s="361">
        <v>220343</v>
      </c>
      <c r="F70" s="361">
        <v>0</v>
      </c>
      <c r="G70" s="361">
        <v>1055430</v>
      </c>
      <c r="H70" s="361">
        <v>8827182</v>
      </c>
      <c r="I70" s="362">
        <f t="shared" si="21"/>
        <v>95657610</v>
      </c>
      <c r="J70" s="360">
        <v>0</v>
      </c>
      <c r="K70" s="361">
        <v>0</v>
      </c>
      <c r="L70" s="362">
        <f t="shared" si="22"/>
        <v>0</v>
      </c>
      <c r="M70" s="391">
        <f t="shared" si="23"/>
        <v>95657610</v>
      </c>
    </row>
    <row r="71" spans="1:29" s="255" customFormat="1" ht="20.149999999999999" hidden="1" customHeight="1" outlineLevel="1" x14ac:dyDescent="0.55000000000000004">
      <c r="A71" s="261"/>
      <c r="B71" s="545" t="s">
        <v>20</v>
      </c>
      <c r="C71" s="360">
        <v>108143016</v>
      </c>
      <c r="D71" s="361">
        <v>69926596</v>
      </c>
      <c r="E71" s="361">
        <v>4185549</v>
      </c>
      <c r="F71" s="361">
        <v>1968719</v>
      </c>
      <c r="G71" s="361">
        <v>6112552</v>
      </c>
      <c r="H71" s="361">
        <v>71890295</v>
      </c>
      <c r="I71" s="362">
        <f t="shared" si="21"/>
        <v>262226727</v>
      </c>
      <c r="J71" s="360">
        <v>264660202</v>
      </c>
      <c r="K71" s="361">
        <v>0</v>
      </c>
      <c r="L71" s="362">
        <f t="shared" si="22"/>
        <v>264660202</v>
      </c>
      <c r="M71" s="391">
        <f t="shared" si="23"/>
        <v>526886929</v>
      </c>
    </row>
    <row r="72" spans="1:29" s="255" customFormat="1" ht="20.149999999999999" hidden="1" customHeight="1" outlineLevel="1" x14ac:dyDescent="0.55000000000000004">
      <c r="A72" s="261"/>
      <c r="B72" s="545" t="s">
        <v>21</v>
      </c>
      <c r="C72" s="360">
        <v>18517784</v>
      </c>
      <c r="D72" s="361">
        <v>36088618</v>
      </c>
      <c r="E72" s="361">
        <v>757830</v>
      </c>
      <c r="F72" s="361">
        <v>0</v>
      </c>
      <c r="G72" s="361">
        <v>414775</v>
      </c>
      <c r="H72" s="361">
        <v>18531278</v>
      </c>
      <c r="I72" s="362">
        <f t="shared" si="21"/>
        <v>74310285</v>
      </c>
      <c r="J72" s="360">
        <v>0</v>
      </c>
      <c r="K72" s="361">
        <v>23818921</v>
      </c>
      <c r="L72" s="362">
        <f t="shared" si="22"/>
        <v>23818921</v>
      </c>
      <c r="M72" s="391">
        <f t="shared" si="23"/>
        <v>98129206</v>
      </c>
    </row>
    <row r="73" spans="1:29" s="255" customFormat="1" ht="20.149999999999999" hidden="1" customHeight="1" outlineLevel="1" x14ac:dyDescent="0.55000000000000004">
      <c r="A73" s="261"/>
      <c r="B73" s="545" t="s">
        <v>22</v>
      </c>
      <c r="C73" s="360">
        <v>36005611</v>
      </c>
      <c r="D73" s="361">
        <v>19727407</v>
      </c>
      <c r="E73" s="361">
        <v>394</v>
      </c>
      <c r="F73" s="361">
        <v>99</v>
      </c>
      <c r="G73" s="361">
        <v>1520834</v>
      </c>
      <c r="H73" s="361">
        <v>30417283</v>
      </c>
      <c r="I73" s="362">
        <f t="shared" si="21"/>
        <v>87671628</v>
      </c>
      <c r="J73" s="360">
        <v>0</v>
      </c>
      <c r="K73" s="361">
        <v>65405</v>
      </c>
      <c r="L73" s="362">
        <f t="shared" si="22"/>
        <v>65405</v>
      </c>
      <c r="M73" s="391">
        <f t="shared" si="23"/>
        <v>87737033</v>
      </c>
    </row>
    <row r="74" spans="1:29" s="255" customFormat="1" ht="20.149999999999999" hidden="1" customHeight="1" outlineLevel="1" x14ac:dyDescent="0.55000000000000004">
      <c r="A74" s="261"/>
      <c r="B74" s="545" t="s">
        <v>23</v>
      </c>
      <c r="C74" s="360">
        <v>8598955</v>
      </c>
      <c r="D74" s="361">
        <v>13233815</v>
      </c>
      <c r="E74" s="361">
        <v>48954</v>
      </c>
      <c r="F74" s="361">
        <v>0</v>
      </c>
      <c r="G74" s="361">
        <v>259501</v>
      </c>
      <c r="H74" s="361">
        <v>6268879</v>
      </c>
      <c r="I74" s="362">
        <f t="shared" si="21"/>
        <v>28410104</v>
      </c>
      <c r="J74" s="360">
        <v>1265068</v>
      </c>
      <c r="K74" s="361">
        <v>3639763</v>
      </c>
      <c r="L74" s="362">
        <f t="shared" si="22"/>
        <v>4904831</v>
      </c>
      <c r="M74" s="391">
        <f t="shared" si="23"/>
        <v>33314935</v>
      </c>
    </row>
    <row r="75" spans="1:29" s="255" customFormat="1" ht="20.149999999999999" hidden="1" customHeight="1" outlineLevel="1" x14ac:dyDescent="0.55000000000000004">
      <c r="A75" s="261"/>
      <c r="B75" s="545" t="s">
        <v>24</v>
      </c>
      <c r="C75" s="360">
        <v>10964647</v>
      </c>
      <c r="D75" s="361">
        <v>9941334</v>
      </c>
      <c r="E75" s="361">
        <v>678125</v>
      </c>
      <c r="F75" s="361">
        <v>0</v>
      </c>
      <c r="G75" s="361">
        <v>191483</v>
      </c>
      <c r="H75" s="361">
        <v>8037615</v>
      </c>
      <c r="I75" s="362">
        <f t="shared" si="21"/>
        <v>29813204</v>
      </c>
      <c r="J75" s="360">
        <v>0</v>
      </c>
      <c r="K75" s="361">
        <v>0</v>
      </c>
      <c r="L75" s="362">
        <f t="shared" si="22"/>
        <v>0</v>
      </c>
      <c r="M75" s="391">
        <f t="shared" si="23"/>
        <v>29813204</v>
      </c>
    </row>
    <row r="76" spans="1:29" s="255" customFormat="1" ht="20.149999999999999" hidden="1" customHeight="1" outlineLevel="1" x14ac:dyDescent="0.55000000000000004">
      <c r="A76" s="261"/>
      <c r="B76" s="545" t="s">
        <v>25</v>
      </c>
      <c r="C76" s="360">
        <v>14111126</v>
      </c>
      <c r="D76" s="361">
        <v>4650920</v>
      </c>
      <c r="E76" s="361">
        <v>85509</v>
      </c>
      <c r="F76" s="361">
        <v>0</v>
      </c>
      <c r="G76" s="361">
        <v>25931</v>
      </c>
      <c r="H76" s="361">
        <v>8235360</v>
      </c>
      <c r="I76" s="362">
        <f t="shared" si="21"/>
        <v>27108846</v>
      </c>
      <c r="J76" s="360">
        <v>0</v>
      </c>
      <c r="K76" s="361">
        <v>0</v>
      </c>
      <c r="L76" s="362">
        <f t="shared" si="22"/>
        <v>0</v>
      </c>
      <c r="M76" s="391">
        <f t="shared" si="23"/>
        <v>27108846</v>
      </c>
    </row>
    <row r="77" spans="1:29" s="255" customFormat="1" ht="20.149999999999999" hidden="1" customHeight="1" outlineLevel="1" x14ac:dyDescent="0.55000000000000004">
      <c r="A77" s="261"/>
      <c r="B77" s="545" t="s">
        <v>26</v>
      </c>
      <c r="C77" s="360">
        <v>46575318</v>
      </c>
      <c r="D77" s="361">
        <v>130928689</v>
      </c>
      <c r="E77" s="361">
        <v>41270</v>
      </c>
      <c r="F77" s="361">
        <v>0</v>
      </c>
      <c r="G77" s="361">
        <v>931371</v>
      </c>
      <c r="H77" s="361">
        <v>34714873</v>
      </c>
      <c r="I77" s="362">
        <f t="shared" si="21"/>
        <v>213191521</v>
      </c>
      <c r="J77" s="360">
        <v>0</v>
      </c>
      <c r="K77" s="361">
        <v>0</v>
      </c>
      <c r="L77" s="362">
        <f t="shared" si="22"/>
        <v>0</v>
      </c>
      <c r="M77" s="391">
        <f t="shared" si="23"/>
        <v>213191521</v>
      </c>
    </row>
    <row r="78" spans="1:29" s="255" customFormat="1" ht="20.149999999999999" customHeight="1" collapsed="1" x14ac:dyDescent="0.55000000000000004">
      <c r="A78" s="21"/>
      <c r="B78" s="354" t="s">
        <v>40</v>
      </c>
      <c r="C78" s="355">
        <v>299024447</v>
      </c>
      <c r="D78" s="356">
        <v>405848211</v>
      </c>
      <c r="E78" s="356">
        <v>5475569</v>
      </c>
      <c r="F78" s="356">
        <v>3111574</v>
      </c>
      <c r="G78" s="356">
        <v>11727327</v>
      </c>
      <c r="H78" s="356">
        <v>196754079</v>
      </c>
      <c r="I78" s="357">
        <f t="shared" si="18"/>
        <v>921941207</v>
      </c>
      <c r="J78" s="356">
        <v>267918079</v>
      </c>
      <c r="K78" s="356">
        <v>27472597</v>
      </c>
      <c r="L78" s="357">
        <f t="shared" si="19"/>
        <v>295390676</v>
      </c>
      <c r="M78" s="385">
        <f t="shared" si="20"/>
        <v>1217331883</v>
      </c>
      <c r="N78" s="40"/>
      <c r="O78" s="40"/>
      <c r="P78" s="40"/>
      <c r="Q78" s="40"/>
      <c r="R78" s="40"/>
      <c r="S78" s="40"/>
      <c r="T78" s="40"/>
      <c r="U78" s="40"/>
      <c r="V78" s="40"/>
      <c r="W78" s="40"/>
      <c r="X78" s="40"/>
      <c r="Y78" s="40"/>
      <c r="Z78" s="40"/>
      <c r="AA78" s="40"/>
      <c r="AB78" s="40"/>
      <c r="AC78" s="40"/>
    </row>
    <row r="79" spans="1:29" s="255" customFormat="1" ht="20.149999999999999" customHeight="1" x14ac:dyDescent="0.55000000000000004">
      <c r="A79" s="21"/>
      <c r="B79" s="368" t="s">
        <v>3</v>
      </c>
      <c r="C79" s="388">
        <v>284430920</v>
      </c>
      <c r="D79" s="369">
        <v>422016156</v>
      </c>
      <c r="E79" s="369">
        <v>5490108</v>
      </c>
      <c r="F79" s="369">
        <v>1865108</v>
      </c>
      <c r="G79" s="369">
        <v>11593272</v>
      </c>
      <c r="H79" s="369">
        <v>193120835</v>
      </c>
      <c r="I79" s="394">
        <f t="shared" si="18"/>
        <v>918516399</v>
      </c>
      <c r="J79" s="369">
        <v>274184648</v>
      </c>
      <c r="K79" s="369">
        <v>27719633</v>
      </c>
      <c r="L79" s="394">
        <f t="shared" si="19"/>
        <v>301904281</v>
      </c>
      <c r="M79" s="386">
        <f t="shared" si="20"/>
        <v>1220420680</v>
      </c>
      <c r="N79" s="40"/>
      <c r="O79" s="40"/>
      <c r="P79" s="40"/>
      <c r="Q79" s="40"/>
      <c r="R79" s="40"/>
      <c r="S79" s="40"/>
      <c r="T79" s="40"/>
      <c r="U79" s="40"/>
      <c r="V79" s="40"/>
      <c r="W79" s="40"/>
      <c r="X79" s="40"/>
      <c r="Y79" s="40"/>
      <c r="Z79" s="40"/>
      <c r="AA79" s="40"/>
      <c r="AB79" s="40"/>
      <c r="AC79" s="40"/>
    </row>
  </sheetData>
  <sortState ref="B73:M75">
    <sortCondition descending="1" ref="B73"/>
  </sortState>
  <customSheetViews>
    <customSheetView guid="{501209ED-4B79-4E52-B95E-748E5E77E24F}" scale="85" hiddenRows="1">
      <pane xSplit="2" ySplit="10" topLeftCell="C11" activePane="bottomRight" state="frozen"/>
      <selection pane="bottomRight" activeCell="C12" sqref="C12:L22"/>
      <pageMargins left="0.59055118110236227" right="0.59055118110236227" top="0.59055118110236227" bottom="0.59055118110236227" header="0.31496062992125984" footer="0.31496062992125984"/>
      <printOptions horizontalCentered="1"/>
      <pageSetup paperSize="9" scale="49" orientation="portrait" r:id="rId1"/>
    </customSheetView>
  </customSheetViews>
  <mergeCells count="3">
    <mergeCell ref="C10:I10"/>
    <mergeCell ref="J10:L10"/>
    <mergeCell ref="M10:M11"/>
  </mergeCells>
  <phoneticPr fontId="1"/>
  <conditionalFormatting sqref="C34:M34 C45:M45 C56:M56 C67:M67 C78:M79 C23:M23">
    <cfRule type="containsBlanks" dxfId="128" priority="51">
      <formula>LEN(TRIM(C23))=0</formula>
    </cfRule>
  </conditionalFormatting>
  <conditionalFormatting sqref="C36:M36">
    <cfRule type="containsBlanks" dxfId="127" priority="48">
      <formula>LEN(TRIM(C36))=0</formula>
    </cfRule>
  </conditionalFormatting>
  <conditionalFormatting sqref="C37:M37">
    <cfRule type="containsBlanks" dxfId="126" priority="47">
      <formula>LEN(TRIM(C37))=0</formula>
    </cfRule>
  </conditionalFormatting>
  <conditionalFormatting sqref="C38:M38">
    <cfRule type="containsBlanks" dxfId="125" priority="46">
      <formula>LEN(TRIM(C38))=0</formula>
    </cfRule>
  </conditionalFormatting>
  <conditionalFormatting sqref="C39:M39">
    <cfRule type="containsBlanks" dxfId="124" priority="45">
      <formula>LEN(TRIM(C39))=0</formula>
    </cfRule>
  </conditionalFormatting>
  <conditionalFormatting sqref="C40:M40">
    <cfRule type="containsBlanks" dxfId="123" priority="44">
      <formula>LEN(TRIM(C40))=0</formula>
    </cfRule>
  </conditionalFormatting>
  <conditionalFormatting sqref="C41:M41">
    <cfRule type="containsBlanks" dxfId="122" priority="43">
      <formula>LEN(TRIM(C41))=0</formula>
    </cfRule>
  </conditionalFormatting>
  <conditionalFormatting sqref="C42:M42">
    <cfRule type="containsBlanks" dxfId="121" priority="42">
      <formula>LEN(TRIM(C42))=0</formula>
    </cfRule>
  </conditionalFormatting>
  <conditionalFormatting sqref="C43:M43">
    <cfRule type="containsBlanks" dxfId="120" priority="41">
      <formula>LEN(TRIM(C43))=0</formula>
    </cfRule>
  </conditionalFormatting>
  <conditionalFormatting sqref="C44:M44">
    <cfRule type="containsBlanks" dxfId="119" priority="40">
      <formula>LEN(TRIM(C44))=0</formula>
    </cfRule>
  </conditionalFormatting>
  <conditionalFormatting sqref="C47:M47">
    <cfRule type="containsBlanks" dxfId="118" priority="38">
      <formula>LEN(TRIM(C47))=0</formula>
    </cfRule>
  </conditionalFormatting>
  <conditionalFormatting sqref="C48:M48">
    <cfRule type="containsBlanks" dxfId="117" priority="37">
      <formula>LEN(TRIM(C48))=0</formula>
    </cfRule>
  </conditionalFormatting>
  <conditionalFormatting sqref="C49:M49">
    <cfRule type="containsBlanks" dxfId="116" priority="36">
      <formula>LEN(TRIM(C49))=0</formula>
    </cfRule>
  </conditionalFormatting>
  <conditionalFormatting sqref="C50:M50">
    <cfRule type="containsBlanks" dxfId="115" priority="35">
      <formula>LEN(TRIM(C50))=0</formula>
    </cfRule>
  </conditionalFormatting>
  <conditionalFormatting sqref="C51:M51">
    <cfRule type="containsBlanks" dxfId="114" priority="34">
      <formula>LEN(TRIM(C51))=0</formula>
    </cfRule>
  </conditionalFormatting>
  <conditionalFormatting sqref="C52:M52">
    <cfRule type="containsBlanks" dxfId="113" priority="33">
      <formula>LEN(TRIM(C52))=0</formula>
    </cfRule>
  </conditionalFormatting>
  <conditionalFormatting sqref="C53:M53">
    <cfRule type="containsBlanks" dxfId="112" priority="32">
      <formula>LEN(TRIM(C53))=0</formula>
    </cfRule>
  </conditionalFormatting>
  <conditionalFormatting sqref="C54:M54">
    <cfRule type="containsBlanks" dxfId="111" priority="31">
      <formula>LEN(TRIM(C54))=0</formula>
    </cfRule>
  </conditionalFormatting>
  <conditionalFormatting sqref="C55:M55">
    <cfRule type="containsBlanks" dxfId="110" priority="30">
      <formula>LEN(TRIM(C55))=0</formula>
    </cfRule>
  </conditionalFormatting>
  <conditionalFormatting sqref="C58:M58">
    <cfRule type="containsBlanks" dxfId="109" priority="28">
      <formula>LEN(TRIM(C58))=0</formula>
    </cfRule>
  </conditionalFormatting>
  <conditionalFormatting sqref="C59:M59">
    <cfRule type="containsBlanks" dxfId="108" priority="27">
      <formula>LEN(TRIM(C59))=0</formula>
    </cfRule>
  </conditionalFormatting>
  <conditionalFormatting sqref="C60:M60">
    <cfRule type="containsBlanks" dxfId="107" priority="26">
      <formula>LEN(TRIM(C60))=0</formula>
    </cfRule>
  </conditionalFormatting>
  <conditionalFormatting sqref="C61:M61">
    <cfRule type="containsBlanks" dxfId="106" priority="25">
      <formula>LEN(TRIM(C61))=0</formula>
    </cfRule>
  </conditionalFormatting>
  <conditionalFormatting sqref="C62:M62">
    <cfRule type="containsBlanks" dxfId="105" priority="24">
      <formula>LEN(TRIM(C62))=0</formula>
    </cfRule>
  </conditionalFormatting>
  <conditionalFormatting sqref="C63:M63">
    <cfRule type="containsBlanks" dxfId="104" priority="23">
      <formula>LEN(TRIM(C63))=0</formula>
    </cfRule>
  </conditionalFormatting>
  <conditionalFormatting sqref="C64:M64">
    <cfRule type="containsBlanks" dxfId="103" priority="22">
      <formula>LEN(TRIM(C64))=0</formula>
    </cfRule>
  </conditionalFormatting>
  <conditionalFormatting sqref="C65:M65">
    <cfRule type="containsBlanks" dxfId="102" priority="21">
      <formula>LEN(TRIM(C65))=0</formula>
    </cfRule>
  </conditionalFormatting>
  <conditionalFormatting sqref="C66:M66">
    <cfRule type="containsBlanks" dxfId="101" priority="20">
      <formula>LEN(TRIM(C66))=0</formula>
    </cfRule>
  </conditionalFormatting>
  <conditionalFormatting sqref="C69:M69">
    <cfRule type="containsBlanks" dxfId="100" priority="18">
      <formula>LEN(TRIM(C69))=0</formula>
    </cfRule>
  </conditionalFormatting>
  <conditionalFormatting sqref="C70:M70">
    <cfRule type="containsBlanks" dxfId="99" priority="17">
      <formula>LEN(TRIM(C70))=0</formula>
    </cfRule>
  </conditionalFormatting>
  <conditionalFormatting sqref="C71:M71">
    <cfRule type="containsBlanks" dxfId="98" priority="16">
      <formula>LEN(TRIM(C71))=0</formula>
    </cfRule>
  </conditionalFormatting>
  <conditionalFormatting sqref="C72:M72">
    <cfRule type="containsBlanks" dxfId="97" priority="15">
      <formula>LEN(TRIM(C72))=0</formula>
    </cfRule>
  </conditionalFormatting>
  <conditionalFormatting sqref="C73:M73">
    <cfRule type="containsBlanks" dxfId="96" priority="14">
      <formula>LEN(TRIM(C73))=0</formula>
    </cfRule>
  </conditionalFormatting>
  <conditionalFormatting sqref="C74:M74">
    <cfRule type="containsBlanks" dxfId="95" priority="13">
      <formula>LEN(TRIM(C74))=0</formula>
    </cfRule>
  </conditionalFormatting>
  <conditionalFormatting sqref="C75:M75">
    <cfRule type="containsBlanks" dxfId="94" priority="12">
      <formula>LEN(TRIM(C75))=0</formula>
    </cfRule>
  </conditionalFormatting>
  <conditionalFormatting sqref="C76:M76">
    <cfRule type="containsBlanks" dxfId="93" priority="11">
      <formula>LEN(TRIM(C76))=0</formula>
    </cfRule>
  </conditionalFormatting>
  <conditionalFormatting sqref="C77:M77">
    <cfRule type="containsBlanks" dxfId="92" priority="10">
      <formula>LEN(TRIM(C77))=0</formula>
    </cfRule>
  </conditionalFormatting>
  <conditionalFormatting sqref="I25:I33">
    <cfRule type="containsBlanks" dxfId="91" priority="9">
      <formula>LEN(TRIM(I25))=0</formula>
    </cfRule>
  </conditionalFormatting>
  <conditionalFormatting sqref="L25:M33">
    <cfRule type="containsBlanks" dxfId="90" priority="8">
      <formula>LEN(TRIM(L25))=0</formula>
    </cfRule>
  </conditionalFormatting>
  <conditionalFormatting sqref="C12:M12">
    <cfRule type="containsBlanks" dxfId="89" priority="5">
      <formula>LEN(TRIM(C12))=0</formula>
    </cfRule>
  </conditionalFormatting>
  <conditionalFormatting sqref="I14:I22">
    <cfRule type="containsBlanks" dxfId="88" priority="4">
      <formula>LEN(TRIM(I14))=0</formula>
    </cfRule>
  </conditionalFormatting>
  <conditionalFormatting sqref="L14:M22">
    <cfRule type="containsBlanks" dxfId="87" priority="3">
      <formula>LEN(TRIM(L14))=0</formula>
    </cfRule>
  </conditionalFormatting>
  <conditionalFormatting sqref="C14:H22">
    <cfRule type="containsBlanks" dxfId="86" priority="53">
      <formula>LEN(TRIM(C14))=0</formula>
    </cfRule>
  </conditionalFormatting>
  <conditionalFormatting sqref="J14:K22">
    <cfRule type="containsBlanks" dxfId="85" priority="52">
      <formula>LEN(TRIM(J14))=0</formula>
    </cfRule>
  </conditionalFormatting>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49" orientation="portrait" r:id="rId2"/>
  <extLst>
    <ext xmlns:x14="http://schemas.microsoft.com/office/spreadsheetml/2009/9/main" uri="{78C0D931-6437-407d-A8EE-F0AAD7539E65}">
      <x14:conditionalFormattings>
        <x14:conditionalFormatting xmlns:xm="http://schemas.microsoft.com/office/excel/2006/main">
          <x14:cfRule type="containsBlanks" priority="7" id="{22BD2DA6-8E0C-4C00-BF45-A44CB5B97CBB}">
            <xm:f>LEN(TRIM('[Book2]3(2)固定資産税（地目別地積の推移（土地））'!#REF!))=0</xm:f>
            <x14:dxf>
              <fill>
                <patternFill>
                  <bgColor rgb="FFFFFF00"/>
                </patternFill>
              </fill>
            </x14:dxf>
          </x14:cfRule>
          <xm:sqref>C25:H33</xm:sqref>
        </x14:conditionalFormatting>
        <x14:conditionalFormatting xmlns:xm="http://schemas.microsoft.com/office/excel/2006/main">
          <x14:cfRule type="containsBlanks" priority="6" id="{A241A699-EBD9-45A8-9240-204A53E2945B}">
            <xm:f>LEN(TRIM('[Book2]3(2)固定資産税（地目別地積の推移（土地））'!#REF!))=0</xm:f>
            <x14:dxf>
              <fill>
                <patternFill>
                  <bgColor rgb="FFFFFF00"/>
                </patternFill>
              </fill>
            </x14:dxf>
          </x14:cfRule>
          <xm:sqref>J25:K33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8.58203125" defaultRowHeight="14.5" x14ac:dyDescent="0.35"/>
  <cols>
    <col min="1" max="1" width="10.33203125" style="4" bestFit="1" customWidth="1"/>
    <col min="2" max="3" width="15.58203125" style="1" customWidth="1"/>
    <col min="4" max="5" width="15.58203125" style="2" customWidth="1"/>
    <col min="6" max="6" width="12.83203125" style="1" bestFit="1" customWidth="1"/>
    <col min="7" max="7" width="11.33203125" style="1" customWidth="1"/>
    <col min="8" max="22" width="10.83203125" style="1" bestFit="1" customWidth="1"/>
    <col min="23" max="24" width="10.33203125" style="1" bestFit="1" customWidth="1"/>
    <col min="25" max="16384" width="8.58203125" style="1"/>
  </cols>
  <sheetData>
    <row r="1" spans="1:23" x14ac:dyDescent="0.3">
      <c r="A1" s="433" t="s">
        <v>438</v>
      </c>
    </row>
    <row r="3" spans="1:23" s="253" customFormat="1" ht="20.149999999999999" customHeight="1" x14ac:dyDescent="0.55000000000000004">
      <c r="A3" s="252" t="s">
        <v>120</v>
      </c>
    </row>
    <row r="4" spans="1:23" s="253" customFormat="1" ht="20.149999999999999" customHeight="1" x14ac:dyDescent="0.55000000000000004">
      <c r="A4" s="252" t="s">
        <v>177</v>
      </c>
    </row>
    <row r="5" spans="1:23" s="253" customFormat="1" ht="14.5" customHeight="1" x14ac:dyDescent="0.55000000000000004"/>
    <row r="6" spans="1:23" s="253" customFormat="1" ht="14.5" customHeight="1" x14ac:dyDescent="0.55000000000000004">
      <c r="A6" s="30" t="s">
        <v>156</v>
      </c>
    </row>
    <row r="7" spans="1:23" s="253" customFormat="1" ht="14.5" customHeight="1" x14ac:dyDescent="0.55000000000000004">
      <c r="A7" s="30"/>
    </row>
    <row r="8" spans="1:23" s="22" customFormat="1" ht="14.5" customHeight="1" x14ac:dyDescent="0.55000000000000004">
      <c r="A8" s="22" t="s">
        <v>32</v>
      </c>
    </row>
    <row r="9" spans="1:23" s="21" customFormat="1" ht="20.149999999999999" customHeight="1" x14ac:dyDescent="0.55000000000000004">
      <c r="A9" s="327"/>
      <c r="B9" s="325" t="s">
        <v>178</v>
      </c>
      <c r="C9" s="325" t="s">
        <v>179</v>
      </c>
      <c r="D9" s="325" t="s">
        <v>180</v>
      </c>
      <c r="E9" s="325" t="s">
        <v>173</v>
      </c>
      <c r="F9" s="46"/>
      <c r="G9" s="45"/>
      <c r="H9" s="45"/>
      <c r="I9" s="45"/>
      <c r="J9" s="45"/>
      <c r="K9" s="45"/>
      <c r="L9" s="45"/>
      <c r="M9" s="45"/>
      <c r="N9" s="45"/>
      <c r="O9" s="45"/>
      <c r="P9" s="45"/>
      <c r="Q9" s="45"/>
      <c r="R9" s="45"/>
      <c r="S9" s="45"/>
      <c r="T9" s="45"/>
      <c r="U9" s="45"/>
      <c r="V9" s="45"/>
      <c r="W9" s="45"/>
    </row>
    <row r="10" spans="1:23" s="255" customFormat="1" ht="20.149999999999999" customHeight="1" x14ac:dyDescent="0.55000000000000004">
      <c r="A10" s="353" t="s">
        <v>1127</v>
      </c>
      <c r="B10" s="48">
        <v>146940</v>
      </c>
      <c r="C10" s="54">
        <v>548086</v>
      </c>
      <c r="D10" s="55">
        <v>546870</v>
      </c>
      <c r="E10" s="49">
        <f>B10+C10</f>
        <v>695026</v>
      </c>
      <c r="F10" s="253"/>
      <c r="G10" s="40"/>
      <c r="H10" s="40"/>
      <c r="I10" s="40"/>
      <c r="J10" s="40"/>
      <c r="K10" s="40"/>
      <c r="L10" s="40"/>
      <c r="M10" s="40"/>
      <c r="N10" s="40"/>
      <c r="O10" s="40"/>
      <c r="P10" s="40"/>
      <c r="Q10" s="40"/>
      <c r="R10" s="40"/>
      <c r="S10" s="40"/>
      <c r="T10" s="40"/>
      <c r="U10" s="40"/>
      <c r="V10" s="40"/>
      <c r="W10" s="40"/>
    </row>
    <row r="11" spans="1:23" s="255" customFormat="1" ht="20.149999999999999" customHeight="1" x14ac:dyDescent="0.55000000000000004">
      <c r="A11" s="531" t="s">
        <v>1110</v>
      </c>
      <c r="B11" s="48">
        <v>153527</v>
      </c>
      <c r="C11" s="54">
        <v>539913</v>
      </c>
      <c r="D11" s="55">
        <v>538697</v>
      </c>
      <c r="E11" s="49">
        <f>B11+C11</f>
        <v>693440</v>
      </c>
      <c r="F11" s="253"/>
      <c r="G11" s="40"/>
      <c r="H11" s="40"/>
      <c r="I11" s="40"/>
      <c r="J11" s="40"/>
      <c r="K11" s="40"/>
      <c r="L11" s="40"/>
      <c r="M11" s="40"/>
      <c r="N11" s="40"/>
      <c r="O11" s="40"/>
      <c r="P11" s="40"/>
      <c r="Q11" s="40"/>
      <c r="R11" s="40"/>
      <c r="S11" s="40"/>
      <c r="T11" s="40"/>
      <c r="U11" s="40"/>
      <c r="V11" s="40"/>
      <c r="W11" s="40"/>
    </row>
    <row r="12" spans="1:23" s="255" customFormat="1" ht="20.149999999999999" customHeight="1" x14ac:dyDescent="0.55000000000000004">
      <c r="A12" s="531" t="s">
        <v>1078</v>
      </c>
      <c r="B12" s="48">
        <v>163428</v>
      </c>
      <c r="C12" s="54">
        <v>536958</v>
      </c>
      <c r="D12" s="55">
        <v>535741</v>
      </c>
      <c r="E12" s="49">
        <f>B12+C12</f>
        <v>700386</v>
      </c>
      <c r="F12" s="253"/>
      <c r="G12" s="40"/>
      <c r="H12" s="40"/>
      <c r="I12" s="40"/>
      <c r="J12" s="40"/>
      <c r="K12" s="40"/>
      <c r="L12" s="40"/>
      <c r="M12" s="40"/>
      <c r="N12" s="40"/>
      <c r="O12" s="40"/>
      <c r="P12" s="40"/>
      <c r="Q12" s="40"/>
      <c r="R12" s="40"/>
      <c r="S12" s="40"/>
      <c r="T12" s="40"/>
      <c r="U12" s="40"/>
      <c r="V12" s="40"/>
      <c r="W12" s="40"/>
    </row>
    <row r="13" spans="1:23" s="255" customFormat="1" ht="20.149999999999999" customHeight="1" x14ac:dyDescent="0.55000000000000004">
      <c r="A13" s="531" t="s">
        <v>1079</v>
      </c>
      <c r="B13" s="48">
        <v>157228</v>
      </c>
      <c r="C13" s="54">
        <v>539289</v>
      </c>
      <c r="D13" s="55">
        <v>538070</v>
      </c>
      <c r="E13" s="49">
        <f>B13+C13</f>
        <v>696517</v>
      </c>
      <c r="F13" s="253"/>
      <c r="G13" s="40"/>
      <c r="H13" s="40"/>
      <c r="I13" s="40"/>
      <c r="J13" s="40"/>
      <c r="K13" s="40"/>
      <c r="L13" s="40"/>
      <c r="M13" s="40"/>
      <c r="N13" s="40"/>
      <c r="O13" s="40"/>
      <c r="P13" s="40"/>
      <c r="Q13" s="40"/>
      <c r="R13" s="40"/>
      <c r="S13" s="40"/>
      <c r="T13" s="40"/>
      <c r="U13" s="40"/>
      <c r="V13" s="40"/>
      <c r="W13" s="40"/>
    </row>
    <row r="14" spans="1:23" s="255" customFormat="1" ht="20.149999999999999" customHeight="1" x14ac:dyDescent="0.55000000000000004">
      <c r="A14" s="354" t="s">
        <v>1</v>
      </c>
      <c r="B14" s="50">
        <v>161023</v>
      </c>
      <c r="C14" s="56">
        <v>543566</v>
      </c>
      <c r="D14" s="57">
        <v>542347</v>
      </c>
      <c r="E14" s="51">
        <f>B14+C14</f>
        <v>704589</v>
      </c>
      <c r="F14" s="253"/>
      <c r="G14" s="40"/>
      <c r="H14" s="40"/>
      <c r="I14" s="40"/>
      <c r="J14" s="40"/>
      <c r="K14" s="40"/>
      <c r="L14" s="40"/>
      <c r="M14" s="40"/>
      <c r="N14" s="40"/>
      <c r="O14" s="40"/>
      <c r="P14" s="40"/>
      <c r="Q14" s="40"/>
      <c r="R14" s="40"/>
      <c r="S14" s="40"/>
      <c r="T14" s="40"/>
      <c r="U14" s="40"/>
      <c r="V14" s="40"/>
      <c r="W14" s="40"/>
    </row>
    <row r="15" spans="1:23" s="255" customFormat="1" ht="20.149999999999999" customHeight="1" x14ac:dyDescent="0.55000000000000004">
      <c r="A15" s="354" t="s">
        <v>127</v>
      </c>
      <c r="B15" s="50">
        <v>157736</v>
      </c>
      <c r="C15" s="56">
        <v>621164</v>
      </c>
      <c r="D15" s="57">
        <v>619945</v>
      </c>
      <c r="E15" s="51">
        <f t="shared" ref="E15:E16" si="0">B15+C15</f>
        <v>778900</v>
      </c>
      <c r="F15" s="253"/>
      <c r="G15" s="40"/>
      <c r="H15" s="40"/>
      <c r="I15" s="40"/>
      <c r="J15" s="40"/>
      <c r="K15" s="40"/>
      <c r="L15" s="40"/>
      <c r="M15" s="40"/>
      <c r="N15" s="40"/>
      <c r="O15" s="40"/>
      <c r="P15" s="40"/>
      <c r="Q15" s="40"/>
      <c r="R15" s="40"/>
      <c r="S15" s="40"/>
      <c r="T15" s="40"/>
      <c r="U15" s="40"/>
      <c r="V15" s="40"/>
      <c r="W15" s="40"/>
    </row>
    <row r="16" spans="1:23" s="255" customFormat="1" ht="20.149999999999999" customHeight="1" x14ac:dyDescent="0.55000000000000004">
      <c r="A16" s="354" t="s">
        <v>40</v>
      </c>
      <c r="B16" s="50">
        <v>154793</v>
      </c>
      <c r="C16" s="56">
        <v>627503</v>
      </c>
      <c r="D16" s="57">
        <v>626281</v>
      </c>
      <c r="E16" s="51">
        <f t="shared" si="0"/>
        <v>782296</v>
      </c>
      <c r="F16" s="253"/>
      <c r="G16" s="40"/>
      <c r="H16" s="40"/>
      <c r="I16" s="40"/>
      <c r="J16" s="40"/>
      <c r="K16" s="40"/>
      <c r="L16" s="40"/>
      <c r="M16" s="40"/>
      <c r="N16" s="40"/>
      <c r="O16" s="40"/>
      <c r="P16" s="40"/>
      <c r="Q16" s="40"/>
      <c r="R16" s="40"/>
      <c r="S16" s="40"/>
      <c r="T16" s="40"/>
      <c r="U16" s="40"/>
      <c r="V16" s="40"/>
      <c r="W16" s="40"/>
    </row>
    <row r="17" spans="1:23" s="255" customFormat="1" ht="20.149999999999999" customHeight="1" x14ac:dyDescent="0.55000000000000004">
      <c r="A17" s="371" t="s">
        <v>3</v>
      </c>
      <c r="B17" s="52">
        <v>156778</v>
      </c>
      <c r="C17" s="58">
        <v>630896</v>
      </c>
      <c r="D17" s="59">
        <v>629673</v>
      </c>
      <c r="E17" s="53">
        <f>B17+C17</f>
        <v>787674</v>
      </c>
      <c r="F17" s="253"/>
      <c r="G17" s="40"/>
      <c r="H17" s="40"/>
      <c r="I17" s="40"/>
      <c r="J17" s="40"/>
      <c r="K17" s="40"/>
      <c r="L17" s="40"/>
      <c r="M17" s="40"/>
      <c r="N17" s="40"/>
      <c r="O17" s="40"/>
      <c r="P17" s="40"/>
      <c r="Q17" s="40"/>
      <c r="R17" s="40"/>
      <c r="S17" s="40"/>
      <c r="T17" s="40"/>
      <c r="U17" s="40"/>
      <c r="V17" s="40"/>
      <c r="W17" s="40"/>
    </row>
  </sheetData>
  <sortState ref="A15:E19">
    <sortCondition descending="1" ref="A15"/>
  </sortState>
  <customSheetViews>
    <customSheetView guid="{501209ED-4B79-4E52-B95E-748E5E77E24F}">
      <pane xSplit="1" ySplit="8" topLeftCell="B9" activePane="bottomRight" state="frozen"/>
      <selection pane="bottomRight" activeCell="F17" sqref="F17"/>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phoneticPr fontId="1"/>
  <conditionalFormatting sqref="E11">
    <cfRule type="containsBlanks" dxfId="82" priority="4">
      <formula>LEN(TRIM(E11))=0</formula>
    </cfRule>
  </conditionalFormatting>
  <conditionalFormatting sqref="B11:D11">
    <cfRule type="containsBlanks" dxfId="81" priority="3">
      <formula>LEN(TRIM(B11))=0</formula>
    </cfRule>
  </conditionalFormatting>
  <conditionalFormatting sqref="E10">
    <cfRule type="containsBlanks" dxfId="80" priority="2">
      <formula>LEN(TRIM(E10))=0</formula>
    </cfRule>
  </conditionalFormatting>
  <conditionalFormatting sqref="B10:D10">
    <cfRule type="containsBlanks" dxfId="79" priority="1">
      <formula>LEN(TRIM(B10))=0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zoomScaleNormal="100" workbookViewId="0">
      <pane xSplit="5" ySplit="6" topLeftCell="F7" activePane="bottomRight" state="frozen"/>
      <selection pane="topRight" activeCell="F1" sqref="F1"/>
      <selection pane="bottomLeft" activeCell="A7" sqref="A7"/>
      <selection pane="bottomRight" activeCell="B1" sqref="B1"/>
    </sheetView>
  </sheetViews>
  <sheetFormatPr defaultColWidth="8.58203125" defaultRowHeight="14.5" x14ac:dyDescent="0.35"/>
  <cols>
    <col min="1" max="4" width="3" style="4" bestFit="1" customWidth="1"/>
    <col min="5" max="5" width="18.08203125" style="4" bestFit="1" customWidth="1"/>
    <col min="6" max="8" width="10.33203125" style="1" customWidth="1"/>
    <col min="9" max="9" width="10.33203125" style="1" bestFit="1" customWidth="1"/>
    <col min="10" max="11" width="10.33203125" style="2" bestFit="1" customWidth="1"/>
    <col min="12" max="12" width="10.33203125" style="1" bestFit="1" customWidth="1"/>
    <col min="13" max="21" width="10.83203125" style="1" bestFit="1" customWidth="1"/>
    <col min="22" max="23" width="10.33203125" style="1" bestFit="1" customWidth="1"/>
    <col min="24" max="16384" width="8.58203125" style="1"/>
  </cols>
  <sheetData>
    <row r="1" spans="1:23" x14ac:dyDescent="0.35">
      <c r="A1" s="432" t="s">
        <v>438</v>
      </c>
      <c r="B1" s="434"/>
      <c r="C1" s="434"/>
      <c r="D1" s="434"/>
    </row>
    <row r="3" spans="1:23" s="8" customFormat="1" ht="20.149999999999999" customHeight="1" x14ac:dyDescent="0.45">
      <c r="A3" s="6" t="s">
        <v>181</v>
      </c>
      <c r="C3" s="6"/>
      <c r="D3" s="6"/>
      <c r="E3" s="6"/>
    </row>
    <row r="4" spans="1:23" s="8" customFormat="1" ht="20.149999999999999" customHeight="1" x14ac:dyDescent="0.45">
      <c r="A4" s="6" t="s">
        <v>182</v>
      </c>
      <c r="C4" s="6"/>
      <c r="D4" s="6"/>
      <c r="E4" s="6"/>
    </row>
    <row r="5" spans="1:23" s="8" customFormat="1" ht="14.5" customHeight="1" x14ac:dyDescent="0.35"/>
    <row r="6" spans="1:23" s="5" customFormat="1" ht="14.5" customHeight="1" x14ac:dyDescent="0.35">
      <c r="A6" s="5" t="s">
        <v>216</v>
      </c>
      <c r="B6" s="3"/>
      <c r="C6" s="3"/>
      <c r="D6" s="3"/>
      <c r="E6" s="3"/>
    </row>
    <row r="7" spans="1:23" s="21" customFormat="1" ht="20.149999999999999" customHeight="1" x14ac:dyDescent="0.35">
      <c r="A7" s="42"/>
      <c r="B7" s="42"/>
      <c r="C7" s="42"/>
      <c r="D7" s="42"/>
      <c r="E7" s="42"/>
      <c r="F7" s="622" t="s">
        <v>1129</v>
      </c>
      <c r="G7" s="596" t="s">
        <v>1112</v>
      </c>
      <c r="H7" s="506" t="s">
        <v>1088</v>
      </c>
      <c r="I7" s="530" t="s">
        <v>1079</v>
      </c>
      <c r="J7" s="506" t="s">
        <v>217</v>
      </c>
      <c r="K7" s="506" t="s">
        <v>218</v>
      </c>
      <c r="L7" s="506" t="s">
        <v>219</v>
      </c>
      <c r="M7" s="506" t="s">
        <v>220</v>
      </c>
      <c r="N7" s="45"/>
      <c r="O7" s="45"/>
      <c r="P7" s="45"/>
      <c r="Q7" s="45"/>
      <c r="R7" s="45"/>
      <c r="S7" s="45"/>
      <c r="T7" s="45"/>
      <c r="U7" s="45"/>
      <c r="V7" s="45"/>
      <c r="W7" s="45"/>
    </row>
    <row r="8" spans="1:23" ht="29.15" customHeight="1" x14ac:dyDescent="0.3">
      <c r="A8" s="696" t="s">
        <v>183</v>
      </c>
      <c r="B8" s="689" t="s">
        <v>210</v>
      </c>
      <c r="C8" s="689"/>
      <c r="D8" s="689"/>
      <c r="E8" s="689"/>
      <c r="F8" s="581">
        <v>69083</v>
      </c>
      <c r="G8" s="64">
        <v>72468</v>
      </c>
      <c r="H8" s="64">
        <v>76131</v>
      </c>
      <c r="I8" s="64">
        <v>79589</v>
      </c>
      <c r="J8" s="64">
        <v>83257</v>
      </c>
      <c r="K8" s="64">
        <v>87398</v>
      </c>
      <c r="L8" s="64">
        <v>91559</v>
      </c>
      <c r="M8" s="65">
        <v>96148</v>
      </c>
      <c r="N8" s="40"/>
      <c r="O8" s="40"/>
      <c r="P8" s="40"/>
      <c r="Q8" s="40"/>
      <c r="R8" s="40"/>
      <c r="S8" s="40"/>
      <c r="T8" s="40"/>
      <c r="U8" s="40"/>
      <c r="V8" s="40"/>
      <c r="W8" s="40"/>
    </row>
    <row r="9" spans="1:23" ht="29.15" customHeight="1" x14ac:dyDescent="0.3">
      <c r="A9" s="697"/>
      <c r="B9" s="687" t="s">
        <v>211</v>
      </c>
      <c r="C9" s="687"/>
      <c r="D9" s="687"/>
      <c r="E9" s="687"/>
      <c r="F9" s="582">
        <v>3701</v>
      </c>
      <c r="G9" s="62">
        <v>3798</v>
      </c>
      <c r="H9" s="62">
        <v>3824</v>
      </c>
      <c r="I9" s="62">
        <v>3946</v>
      </c>
      <c r="J9" s="62">
        <v>4101</v>
      </c>
      <c r="K9" s="62">
        <v>4354</v>
      </c>
      <c r="L9" s="62">
        <v>4628</v>
      </c>
      <c r="M9" s="66">
        <v>4947</v>
      </c>
      <c r="N9" s="40"/>
      <c r="O9" s="40"/>
      <c r="P9" s="40"/>
      <c r="Q9" s="40"/>
      <c r="R9" s="40"/>
      <c r="S9" s="40"/>
      <c r="T9" s="40"/>
      <c r="U9" s="40"/>
      <c r="V9" s="40"/>
      <c r="W9" s="40"/>
    </row>
    <row r="10" spans="1:23" ht="29.15" customHeight="1" x14ac:dyDescent="0.3">
      <c r="A10" s="697"/>
      <c r="B10" s="687" t="s">
        <v>212</v>
      </c>
      <c r="C10" s="687"/>
      <c r="D10" s="687"/>
      <c r="E10" s="687"/>
      <c r="F10" s="582">
        <v>38626</v>
      </c>
      <c r="G10" s="62">
        <v>38305</v>
      </c>
      <c r="H10" s="62">
        <v>37970</v>
      </c>
      <c r="I10" s="62">
        <v>36617</v>
      </c>
      <c r="J10" s="62">
        <v>35778</v>
      </c>
      <c r="K10" s="62">
        <v>35150</v>
      </c>
      <c r="L10" s="62">
        <v>34462</v>
      </c>
      <c r="M10" s="66">
        <v>33893</v>
      </c>
      <c r="N10" s="40"/>
      <c r="O10" s="40"/>
      <c r="P10" s="40"/>
      <c r="Q10" s="40"/>
      <c r="R10" s="40"/>
      <c r="S10" s="40"/>
      <c r="T10" s="40"/>
      <c r="U10" s="40"/>
      <c r="V10" s="40"/>
      <c r="W10" s="40"/>
    </row>
    <row r="11" spans="1:23" ht="29.15" customHeight="1" x14ac:dyDescent="0.3">
      <c r="A11" s="697"/>
      <c r="B11" s="687" t="s">
        <v>213</v>
      </c>
      <c r="C11" s="687"/>
      <c r="D11" s="687"/>
      <c r="E11" s="687"/>
      <c r="F11" s="582">
        <v>1449</v>
      </c>
      <c r="G11" s="62">
        <v>1405</v>
      </c>
      <c r="H11" s="62">
        <v>1402</v>
      </c>
      <c r="I11" s="62">
        <v>1332</v>
      </c>
      <c r="J11" s="62">
        <v>1283</v>
      </c>
      <c r="K11" s="62">
        <v>1245</v>
      </c>
      <c r="L11" s="62">
        <v>1235</v>
      </c>
      <c r="M11" s="66">
        <v>1187</v>
      </c>
      <c r="N11" s="40"/>
      <c r="O11" s="40"/>
      <c r="P11" s="40"/>
      <c r="Q11" s="40"/>
      <c r="R11" s="40"/>
      <c r="S11" s="40"/>
      <c r="T11" s="40"/>
      <c r="U11" s="40"/>
      <c r="V11" s="40"/>
      <c r="W11" s="40"/>
    </row>
    <row r="12" spans="1:23" ht="29.15" customHeight="1" x14ac:dyDescent="0.3">
      <c r="A12" s="697"/>
      <c r="B12" s="687" t="s">
        <v>214</v>
      </c>
      <c r="C12" s="687"/>
      <c r="D12" s="687"/>
      <c r="E12" s="687"/>
      <c r="F12" s="582">
        <v>710</v>
      </c>
      <c r="G12" s="62">
        <v>469</v>
      </c>
      <c r="H12" s="62">
        <v>384</v>
      </c>
      <c r="I12" s="62">
        <v>240</v>
      </c>
      <c r="J12" s="62">
        <v>173</v>
      </c>
      <c r="K12" s="62">
        <v>165</v>
      </c>
      <c r="L12" s="62">
        <v>138</v>
      </c>
      <c r="M12" s="66">
        <v>120</v>
      </c>
      <c r="N12" s="39"/>
      <c r="O12" s="39"/>
      <c r="P12" s="39"/>
      <c r="Q12" s="39"/>
      <c r="R12" s="39"/>
      <c r="S12" s="39"/>
      <c r="T12" s="39"/>
      <c r="U12" s="39"/>
      <c r="V12" s="39"/>
      <c r="W12" s="39"/>
    </row>
    <row r="13" spans="1:23" ht="29.15" customHeight="1" x14ac:dyDescent="0.3">
      <c r="A13" s="697"/>
      <c r="B13" s="687" t="s">
        <v>1132</v>
      </c>
      <c r="C13" s="687"/>
      <c r="D13" s="687"/>
      <c r="E13" s="691"/>
      <c r="F13" s="593">
        <v>8</v>
      </c>
      <c r="G13" s="212">
        <v>8</v>
      </c>
      <c r="H13" s="212">
        <v>7</v>
      </c>
      <c r="I13" s="212">
        <v>7</v>
      </c>
      <c r="J13" s="212">
        <v>5</v>
      </c>
      <c r="K13" s="212">
        <v>5</v>
      </c>
      <c r="L13" s="212">
        <v>4</v>
      </c>
      <c r="M13" s="213">
        <v>4</v>
      </c>
      <c r="N13" s="39"/>
      <c r="O13" s="39"/>
      <c r="P13" s="39"/>
      <c r="Q13" s="39"/>
      <c r="R13" s="39"/>
      <c r="S13" s="39"/>
      <c r="T13" s="39"/>
      <c r="U13" s="39"/>
      <c r="V13" s="39"/>
      <c r="W13" s="39"/>
    </row>
    <row r="14" spans="1:23" ht="29.15" customHeight="1" x14ac:dyDescent="0.3">
      <c r="A14" s="697"/>
      <c r="B14" s="687" t="s">
        <v>1133</v>
      </c>
      <c r="C14" s="687"/>
      <c r="D14" s="687"/>
      <c r="E14" s="691"/>
      <c r="F14" s="593">
        <v>225</v>
      </c>
      <c r="G14" s="212">
        <v>142</v>
      </c>
      <c r="H14" s="212">
        <v>88</v>
      </c>
      <c r="I14" s="212">
        <v>47</v>
      </c>
      <c r="J14" s="212">
        <v>6</v>
      </c>
      <c r="K14" s="212">
        <v>5</v>
      </c>
      <c r="L14" s="212">
        <v>3</v>
      </c>
      <c r="M14" s="213">
        <v>3</v>
      </c>
      <c r="N14" s="39"/>
      <c r="O14" s="39"/>
      <c r="P14" s="39"/>
      <c r="Q14" s="39"/>
      <c r="R14" s="39"/>
      <c r="S14" s="39"/>
      <c r="T14" s="39"/>
      <c r="U14" s="39"/>
      <c r="V14" s="39"/>
      <c r="W14" s="39"/>
    </row>
    <row r="15" spans="1:23" ht="29.15" customHeight="1" thickBot="1" x14ac:dyDescent="0.35">
      <c r="A15" s="697"/>
      <c r="B15" s="690" t="s">
        <v>215</v>
      </c>
      <c r="C15" s="690"/>
      <c r="D15" s="690"/>
      <c r="E15" s="690"/>
      <c r="F15" s="583">
        <v>173</v>
      </c>
      <c r="G15" s="71">
        <v>160</v>
      </c>
      <c r="H15" s="71">
        <v>131</v>
      </c>
      <c r="I15" s="71">
        <v>121</v>
      </c>
      <c r="J15" s="71">
        <v>98</v>
      </c>
      <c r="K15" s="71">
        <v>92</v>
      </c>
      <c r="L15" s="71">
        <v>85</v>
      </c>
      <c r="M15" s="72">
        <v>76</v>
      </c>
    </row>
    <row r="16" spans="1:23" ht="29.15" customHeight="1" thickTop="1" x14ac:dyDescent="0.3">
      <c r="A16" s="698"/>
      <c r="B16" s="699" t="s">
        <v>62</v>
      </c>
      <c r="C16" s="699"/>
      <c r="D16" s="699"/>
      <c r="E16" s="699"/>
      <c r="F16" s="69">
        <f>SUM(F8:F15)</f>
        <v>113975</v>
      </c>
      <c r="G16" s="69">
        <v>116605</v>
      </c>
      <c r="H16" s="69">
        <f>SUM(H8:H15)</f>
        <v>119937</v>
      </c>
      <c r="I16" s="69">
        <f>SUM(I8:I15)</f>
        <v>121899</v>
      </c>
      <c r="J16" s="69">
        <f t="shared" ref="J16:L16" si="0">SUM(J8:J15)</f>
        <v>124701</v>
      </c>
      <c r="K16" s="69">
        <f t="shared" si="0"/>
        <v>128414</v>
      </c>
      <c r="L16" s="69">
        <f t="shared" si="0"/>
        <v>132114</v>
      </c>
      <c r="M16" s="70">
        <f>SUM(M8:M15)</f>
        <v>136378</v>
      </c>
    </row>
    <row r="17" spans="1:13" ht="29.15" customHeight="1" x14ac:dyDescent="0.3">
      <c r="A17" s="696" t="s">
        <v>204</v>
      </c>
      <c r="B17" s="704" t="s">
        <v>184</v>
      </c>
      <c r="C17" s="704"/>
      <c r="D17" s="704"/>
      <c r="E17" s="704"/>
      <c r="F17" s="581">
        <v>22219</v>
      </c>
      <c r="G17" s="64">
        <v>22329</v>
      </c>
      <c r="H17" s="64">
        <v>22435</v>
      </c>
      <c r="I17" s="64">
        <v>22108</v>
      </c>
      <c r="J17" s="64">
        <v>22046</v>
      </c>
      <c r="K17" s="64">
        <v>22497</v>
      </c>
      <c r="L17" s="64">
        <v>22721</v>
      </c>
      <c r="M17" s="65">
        <v>23205</v>
      </c>
    </row>
    <row r="18" spans="1:13" ht="29.15" customHeight="1" x14ac:dyDescent="0.3">
      <c r="A18" s="697"/>
      <c r="B18" s="688" t="s">
        <v>209</v>
      </c>
      <c r="C18" s="687" t="s">
        <v>192</v>
      </c>
      <c r="D18" s="687"/>
      <c r="E18" s="687"/>
      <c r="F18" s="582">
        <v>4</v>
      </c>
      <c r="G18" s="62">
        <v>4</v>
      </c>
      <c r="H18" s="62">
        <v>4</v>
      </c>
      <c r="I18" s="62">
        <v>5</v>
      </c>
      <c r="J18" s="62">
        <v>5</v>
      </c>
      <c r="K18" s="62">
        <v>5</v>
      </c>
      <c r="L18" s="62">
        <v>5</v>
      </c>
      <c r="M18" s="66">
        <v>4</v>
      </c>
    </row>
    <row r="19" spans="1:13" ht="29.15" customHeight="1" x14ac:dyDescent="0.3">
      <c r="A19" s="697"/>
      <c r="B19" s="688"/>
      <c r="C19" s="687" t="s">
        <v>193</v>
      </c>
      <c r="D19" s="687"/>
      <c r="E19" s="687"/>
      <c r="F19" s="582" t="s">
        <v>50</v>
      </c>
      <c r="G19" s="62" t="s">
        <v>50</v>
      </c>
      <c r="H19" s="62" t="s">
        <v>50</v>
      </c>
      <c r="I19" s="62" t="s">
        <v>50</v>
      </c>
      <c r="J19" s="62" t="s">
        <v>50</v>
      </c>
      <c r="K19" s="62" t="s">
        <v>50</v>
      </c>
      <c r="L19" s="62" t="s">
        <v>50</v>
      </c>
      <c r="M19" s="66" t="s">
        <v>50</v>
      </c>
    </row>
    <row r="20" spans="1:13" ht="29.15" customHeight="1" x14ac:dyDescent="0.3">
      <c r="A20" s="697"/>
      <c r="B20" s="688"/>
      <c r="C20" s="687" t="s">
        <v>194</v>
      </c>
      <c r="D20" s="687"/>
      <c r="E20" s="687"/>
      <c r="F20" s="582">
        <v>3</v>
      </c>
      <c r="G20" s="62">
        <v>3</v>
      </c>
      <c r="H20" s="62">
        <v>3</v>
      </c>
      <c r="I20" s="62">
        <v>5</v>
      </c>
      <c r="J20" s="62">
        <v>5</v>
      </c>
      <c r="K20" s="62">
        <v>5</v>
      </c>
      <c r="L20" s="62">
        <v>4</v>
      </c>
      <c r="M20" s="66">
        <v>5</v>
      </c>
    </row>
    <row r="21" spans="1:13" ht="29.15" customHeight="1" x14ac:dyDescent="0.3">
      <c r="A21" s="697"/>
      <c r="B21" s="688"/>
      <c r="C21" s="687" t="s">
        <v>195</v>
      </c>
      <c r="D21" s="687"/>
      <c r="E21" s="687"/>
      <c r="F21" s="582" t="s">
        <v>50</v>
      </c>
      <c r="G21" s="62" t="s">
        <v>50</v>
      </c>
      <c r="H21" s="62" t="s">
        <v>50</v>
      </c>
      <c r="I21" s="62" t="s">
        <v>50</v>
      </c>
      <c r="J21" s="62" t="s">
        <v>50</v>
      </c>
      <c r="K21" s="62" t="s">
        <v>50</v>
      </c>
      <c r="L21" s="62" t="s">
        <v>50</v>
      </c>
      <c r="M21" s="66" t="s">
        <v>50</v>
      </c>
    </row>
    <row r="22" spans="1:13" ht="29.15" customHeight="1" x14ac:dyDescent="0.3">
      <c r="A22" s="697"/>
      <c r="B22" s="688"/>
      <c r="C22" s="687" t="s">
        <v>196</v>
      </c>
      <c r="D22" s="687"/>
      <c r="E22" s="687"/>
      <c r="F22" s="582" t="s">
        <v>50</v>
      </c>
      <c r="G22" s="62" t="s">
        <v>50</v>
      </c>
      <c r="H22" s="62" t="s">
        <v>50</v>
      </c>
      <c r="I22" s="62" t="s">
        <v>50</v>
      </c>
      <c r="J22" s="62" t="s">
        <v>50</v>
      </c>
      <c r="K22" s="62" t="s">
        <v>50</v>
      </c>
      <c r="L22" s="62" t="s">
        <v>50</v>
      </c>
      <c r="M22" s="66" t="s">
        <v>50</v>
      </c>
    </row>
    <row r="23" spans="1:13" ht="29.15" customHeight="1" x14ac:dyDescent="0.3">
      <c r="A23" s="697"/>
      <c r="B23" s="688"/>
      <c r="C23" s="687" t="s">
        <v>197</v>
      </c>
      <c r="D23" s="687"/>
      <c r="E23" s="687"/>
      <c r="F23" s="640" t="s">
        <v>50</v>
      </c>
      <c r="G23" s="642" t="s">
        <v>50</v>
      </c>
      <c r="H23" s="62" t="s">
        <v>50</v>
      </c>
      <c r="I23" s="62" t="s">
        <v>50</v>
      </c>
      <c r="J23" s="62" t="s">
        <v>50</v>
      </c>
      <c r="K23" s="62" t="s">
        <v>50</v>
      </c>
      <c r="L23" s="62" t="s">
        <v>50</v>
      </c>
      <c r="M23" s="66" t="s">
        <v>50</v>
      </c>
    </row>
    <row r="24" spans="1:13" ht="29.15" customHeight="1" x14ac:dyDescent="0.3">
      <c r="A24" s="697"/>
      <c r="B24" s="688"/>
      <c r="C24" s="687" t="s">
        <v>198</v>
      </c>
      <c r="D24" s="687"/>
      <c r="E24" s="687"/>
      <c r="F24" s="640" t="s">
        <v>50</v>
      </c>
      <c r="G24" s="642" t="s">
        <v>50</v>
      </c>
      <c r="H24" s="62" t="s">
        <v>50</v>
      </c>
      <c r="I24" s="62">
        <v>1</v>
      </c>
      <c r="J24" s="62">
        <v>1</v>
      </c>
      <c r="K24" s="62" t="s">
        <v>50</v>
      </c>
      <c r="L24" s="62">
        <v>1</v>
      </c>
      <c r="M24" s="66">
        <v>1</v>
      </c>
    </row>
    <row r="25" spans="1:13" ht="29.15" customHeight="1" x14ac:dyDescent="0.3">
      <c r="A25" s="697"/>
      <c r="B25" s="688"/>
      <c r="C25" s="687" t="s">
        <v>199</v>
      </c>
      <c r="D25" s="687"/>
      <c r="E25" s="687"/>
      <c r="F25" s="640" t="s">
        <v>50</v>
      </c>
      <c r="G25" s="642" t="s">
        <v>50</v>
      </c>
      <c r="H25" s="62" t="s">
        <v>50</v>
      </c>
      <c r="I25" s="62" t="s">
        <v>50</v>
      </c>
      <c r="J25" s="62" t="s">
        <v>50</v>
      </c>
      <c r="K25" s="62" t="s">
        <v>50</v>
      </c>
      <c r="L25" s="62" t="s">
        <v>50</v>
      </c>
      <c r="M25" s="66" t="s">
        <v>50</v>
      </c>
    </row>
    <row r="26" spans="1:13" ht="29.15" customHeight="1" x14ac:dyDescent="0.3">
      <c r="A26" s="697"/>
      <c r="B26" s="688"/>
      <c r="C26" s="687" t="s">
        <v>200</v>
      </c>
      <c r="D26" s="687"/>
      <c r="E26" s="687"/>
      <c r="F26" s="640" t="s">
        <v>50</v>
      </c>
      <c r="G26" s="642" t="s">
        <v>50</v>
      </c>
      <c r="H26" s="62" t="s">
        <v>50</v>
      </c>
      <c r="I26" s="62" t="s">
        <v>50</v>
      </c>
      <c r="J26" s="62" t="s">
        <v>50</v>
      </c>
      <c r="K26" s="62">
        <v>1</v>
      </c>
      <c r="L26" s="62" t="s">
        <v>50</v>
      </c>
      <c r="M26" s="66" t="s">
        <v>50</v>
      </c>
    </row>
    <row r="27" spans="1:13" ht="29.15" customHeight="1" x14ac:dyDescent="0.3">
      <c r="A27" s="697"/>
      <c r="B27" s="688"/>
      <c r="C27" s="687" t="s">
        <v>201</v>
      </c>
      <c r="D27" s="687"/>
      <c r="E27" s="687"/>
      <c r="F27" s="640" t="s">
        <v>50</v>
      </c>
      <c r="G27" s="642" t="s">
        <v>50</v>
      </c>
      <c r="H27" s="62" t="s">
        <v>50</v>
      </c>
      <c r="I27" s="62" t="s">
        <v>50</v>
      </c>
      <c r="J27" s="62" t="s">
        <v>50</v>
      </c>
      <c r="K27" s="62" t="s">
        <v>50</v>
      </c>
      <c r="L27" s="62" t="s">
        <v>50</v>
      </c>
      <c r="M27" s="66" t="s">
        <v>50</v>
      </c>
    </row>
    <row r="28" spans="1:13" ht="29.15" customHeight="1" x14ac:dyDescent="0.3">
      <c r="A28" s="697"/>
      <c r="B28" s="688"/>
      <c r="C28" s="687" t="s">
        <v>202</v>
      </c>
      <c r="D28" s="687"/>
      <c r="E28" s="687"/>
      <c r="F28" s="640" t="s">
        <v>50</v>
      </c>
      <c r="G28" s="642" t="s">
        <v>50</v>
      </c>
      <c r="H28" s="62" t="s">
        <v>50</v>
      </c>
      <c r="I28" s="62" t="s">
        <v>50</v>
      </c>
      <c r="J28" s="62" t="s">
        <v>50</v>
      </c>
      <c r="K28" s="62" t="s">
        <v>50</v>
      </c>
      <c r="L28" s="62" t="s">
        <v>50</v>
      </c>
      <c r="M28" s="66" t="s">
        <v>50</v>
      </c>
    </row>
    <row r="29" spans="1:13" ht="29.15" customHeight="1" x14ac:dyDescent="0.3">
      <c r="A29" s="697"/>
      <c r="B29" s="688"/>
      <c r="C29" s="687" t="s">
        <v>203</v>
      </c>
      <c r="D29" s="687"/>
      <c r="E29" s="687"/>
      <c r="F29" s="640" t="s">
        <v>50</v>
      </c>
      <c r="G29" s="642" t="s">
        <v>50</v>
      </c>
      <c r="H29" s="62" t="s">
        <v>50</v>
      </c>
      <c r="I29" s="62" t="s">
        <v>50</v>
      </c>
      <c r="J29" s="62" t="s">
        <v>50</v>
      </c>
      <c r="K29" s="62" t="s">
        <v>50</v>
      </c>
      <c r="L29" s="62" t="s">
        <v>50</v>
      </c>
      <c r="M29" s="66" t="s">
        <v>50</v>
      </c>
    </row>
    <row r="30" spans="1:13" ht="29.15" customHeight="1" x14ac:dyDescent="0.3">
      <c r="A30" s="697"/>
      <c r="B30" s="683" t="s">
        <v>207</v>
      </c>
      <c r="C30" s="683" t="s">
        <v>185</v>
      </c>
      <c r="D30" s="688" t="s">
        <v>186</v>
      </c>
      <c r="E30" s="60" t="s">
        <v>192</v>
      </c>
      <c r="F30" s="582">
        <v>67</v>
      </c>
      <c r="G30" s="642">
        <v>62</v>
      </c>
      <c r="H30" s="62">
        <v>57</v>
      </c>
      <c r="I30" s="62">
        <v>60</v>
      </c>
      <c r="J30" s="62">
        <v>71</v>
      </c>
      <c r="K30" s="62">
        <v>60</v>
      </c>
      <c r="L30" s="62">
        <v>90</v>
      </c>
      <c r="M30" s="66">
        <v>84</v>
      </c>
    </row>
    <row r="31" spans="1:13" ht="29.15" customHeight="1" x14ac:dyDescent="0.3">
      <c r="A31" s="697"/>
      <c r="B31" s="684"/>
      <c r="C31" s="684"/>
      <c r="D31" s="688"/>
      <c r="E31" s="60" t="s">
        <v>193</v>
      </c>
      <c r="F31" s="582">
        <v>46</v>
      </c>
      <c r="G31" s="62">
        <v>35</v>
      </c>
      <c r="H31" s="62">
        <v>29</v>
      </c>
      <c r="I31" s="62">
        <v>28</v>
      </c>
      <c r="J31" s="62">
        <v>23</v>
      </c>
      <c r="K31" s="62">
        <v>20</v>
      </c>
      <c r="L31" s="62">
        <v>14</v>
      </c>
      <c r="M31" s="66">
        <v>10</v>
      </c>
    </row>
    <row r="32" spans="1:13" ht="29.15" customHeight="1" x14ac:dyDescent="0.3">
      <c r="A32" s="697"/>
      <c r="B32" s="684"/>
      <c r="C32" s="684"/>
      <c r="D32" s="688"/>
      <c r="E32" s="60" t="s">
        <v>194</v>
      </c>
      <c r="F32" s="582">
        <v>47</v>
      </c>
      <c r="G32" s="62">
        <v>26</v>
      </c>
      <c r="H32" s="62">
        <v>7</v>
      </c>
      <c r="I32" s="62">
        <v>6</v>
      </c>
      <c r="J32" s="62">
        <v>6</v>
      </c>
      <c r="K32" s="62">
        <v>24</v>
      </c>
      <c r="L32" s="62">
        <v>2</v>
      </c>
      <c r="M32" s="66">
        <v>9</v>
      </c>
    </row>
    <row r="33" spans="1:13" ht="29.15" customHeight="1" x14ac:dyDescent="0.3">
      <c r="A33" s="697"/>
      <c r="B33" s="684"/>
      <c r="C33" s="684"/>
      <c r="D33" s="688"/>
      <c r="E33" s="60" t="s">
        <v>195</v>
      </c>
      <c r="F33" s="582" t="s">
        <v>50</v>
      </c>
      <c r="G33" s="62">
        <v>2</v>
      </c>
      <c r="H33" s="62" t="s">
        <v>50</v>
      </c>
      <c r="I33" s="62" t="s">
        <v>50</v>
      </c>
      <c r="J33" s="62" t="s">
        <v>50</v>
      </c>
      <c r="K33" s="62" t="s">
        <v>50</v>
      </c>
      <c r="L33" s="62" t="s">
        <v>50</v>
      </c>
      <c r="M33" s="66" t="s">
        <v>50</v>
      </c>
    </row>
    <row r="34" spans="1:13" ht="29.15" customHeight="1" x14ac:dyDescent="0.3">
      <c r="A34" s="697"/>
      <c r="B34" s="684"/>
      <c r="C34" s="684"/>
      <c r="D34" s="688"/>
      <c r="E34" s="60" t="s">
        <v>196</v>
      </c>
      <c r="F34" s="582" t="s">
        <v>50</v>
      </c>
      <c r="G34" s="62" t="s">
        <v>50</v>
      </c>
      <c r="H34" s="62" t="s">
        <v>50</v>
      </c>
      <c r="I34" s="62" t="s">
        <v>50</v>
      </c>
      <c r="J34" s="62" t="s">
        <v>50</v>
      </c>
      <c r="K34" s="62" t="s">
        <v>50</v>
      </c>
      <c r="L34" s="62" t="s">
        <v>50</v>
      </c>
      <c r="M34" s="66">
        <v>1</v>
      </c>
    </row>
    <row r="35" spans="1:13" ht="29.15" customHeight="1" x14ac:dyDescent="0.3">
      <c r="A35" s="697"/>
      <c r="B35" s="684"/>
      <c r="C35" s="684"/>
      <c r="D35" s="688"/>
      <c r="E35" s="60" t="s">
        <v>197</v>
      </c>
      <c r="F35" s="582">
        <v>3</v>
      </c>
      <c r="G35" s="62" t="s">
        <v>50</v>
      </c>
      <c r="H35" s="62" t="s">
        <v>50</v>
      </c>
      <c r="I35" s="62" t="s">
        <v>50</v>
      </c>
      <c r="J35" s="62">
        <v>1</v>
      </c>
      <c r="K35" s="62" t="s">
        <v>50</v>
      </c>
      <c r="L35" s="62">
        <v>1</v>
      </c>
      <c r="M35" s="66">
        <v>1</v>
      </c>
    </row>
    <row r="36" spans="1:13" ht="29.15" customHeight="1" x14ac:dyDescent="0.3">
      <c r="A36" s="697"/>
      <c r="B36" s="684"/>
      <c r="C36" s="684"/>
      <c r="D36" s="688"/>
      <c r="E36" s="60" t="s">
        <v>198</v>
      </c>
      <c r="F36" s="582" t="s">
        <v>50</v>
      </c>
      <c r="G36" s="62" t="s">
        <v>50</v>
      </c>
      <c r="H36" s="62" t="s">
        <v>50</v>
      </c>
      <c r="I36" s="62" t="s">
        <v>50</v>
      </c>
      <c r="J36" s="62" t="s">
        <v>50</v>
      </c>
      <c r="K36" s="62" t="s">
        <v>50</v>
      </c>
      <c r="L36" s="62" t="s">
        <v>50</v>
      </c>
      <c r="M36" s="66" t="s">
        <v>50</v>
      </c>
    </row>
    <row r="37" spans="1:13" ht="29.15" customHeight="1" x14ac:dyDescent="0.3">
      <c r="A37" s="697"/>
      <c r="B37" s="684"/>
      <c r="C37" s="684"/>
      <c r="D37" s="688"/>
      <c r="E37" s="60" t="s">
        <v>199</v>
      </c>
      <c r="F37" s="582" t="s">
        <v>50</v>
      </c>
      <c r="G37" s="62" t="s">
        <v>50</v>
      </c>
      <c r="H37" s="62" t="s">
        <v>50</v>
      </c>
      <c r="I37" s="62" t="s">
        <v>50</v>
      </c>
      <c r="J37" s="62" t="s">
        <v>50</v>
      </c>
      <c r="K37" s="62" t="s">
        <v>50</v>
      </c>
      <c r="L37" s="62" t="s">
        <v>50</v>
      </c>
      <c r="M37" s="66" t="s">
        <v>50</v>
      </c>
    </row>
    <row r="38" spans="1:13" ht="29.15" customHeight="1" x14ac:dyDescent="0.3">
      <c r="A38" s="697"/>
      <c r="B38" s="684"/>
      <c r="C38" s="684"/>
      <c r="D38" s="688"/>
      <c r="E38" s="60" t="s">
        <v>200</v>
      </c>
      <c r="F38" s="582" t="s">
        <v>50</v>
      </c>
      <c r="G38" s="62" t="s">
        <v>50</v>
      </c>
      <c r="H38" s="62" t="s">
        <v>50</v>
      </c>
      <c r="I38" s="62" t="s">
        <v>50</v>
      </c>
      <c r="J38" s="62" t="s">
        <v>50</v>
      </c>
      <c r="K38" s="62" t="s">
        <v>50</v>
      </c>
      <c r="L38" s="62" t="s">
        <v>50</v>
      </c>
      <c r="M38" s="66" t="s">
        <v>50</v>
      </c>
    </row>
    <row r="39" spans="1:13" ht="29.15" customHeight="1" x14ac:dyDescent="0.3">
      <c r="A39" s="697"/>
      <c r="B39" s="684"/>
      <c r="C39" s="684"/>
      <c r="D39" s="688"/>
      <c r="E39" s="60" t="s">
        <v>201</v>
      </c>
      <c r="F39" s="582">
        <v>2</v>
      </c>
      <c r="G39" s="62" t="s">
        <v>50</v>
      </c>
      <c r="H39" s="62" t="s">
        <v>50</v>
      </c>
      <c r="I39" s="62" t="s">
        <v>50</v>
      </c>
      <c r="J39" s="62" t="s">
        <v>50</v>
      </c>
      <c r="K39" s="62" t="s">
        <v>50</v>
      </c>
      <c r="L39" s="62" t="s">
        <v>50</v>
      </c>
      <c r="M39" s="66" t="s">
        <v>50</v>
      </c>
    </row>
    <row r="40" spans="1:13" ht="29.15" customHeight="1" x14ac:dyDescent="0.3">
      <c r="A40" s="697"/>
      <c r="B40" s="684"/>
      <c r="C40" s="684"/>
      <c r="D40" s="688"/>
      <c r="E40" s="60" t="s">
        <v>202</v>
      </c>
      <c r="F40" s="582" t="s">
        <v>50</v>
      </c>
      <c r="G40" s="62" t="s">
        <v>50</v>
      </c>
      <c r="H40" s="62" t="s">
        <v>50</v>
      </c>
      <c r="I40" s="62" t="s">
        <v>50</v>
      </c>
      <c r="J40" s="62" t="s">
        <v>50</v>
      </c>
      <c r="K40" s="62" t="s">
        <v>50</v>
      </c>
      <c r="L40" s="62" t="s">
        <v>50</v>
      </c>
      <c r="M40" s="66" t="s">
        <v>50</v>
      </c>
    </row>
    <row r="41" spans="1:13" ht="29.15" customHeight="1" x14ac:dyDescent="0.3">
      <c r="A41" s="697"/>
      <c r="B41" s="685"/>
      <c r="C41" s="685"/>
      <c r="D41" s="688"/>
      <c r="E41" s="60" t="s">
        <v>203</v>
      </c>
      <c r="F41" s="582" t="s">
        <v>50</v>
      </c>
      <c r="G41" s="62" t="s">
        <v>50</v>
      </c>
      <c r="H41" s="62" t="s">
        <v>50</v>
      </c>
      <c r="I41" s="62" t="s">
        <v>50</v>
      </c>
      <c r="J41" s="62" t="s">
        <v>50</v>
      </c>
      <c r="K41" s="62" t="s">
        <v>50</v>
      </c>
      <c r="L41" s="62" t="s">
        <v>50</v>
      </c>
      <c r="M41" s="66" t="s">
        <v>50</v>
      </c>
    </row>
    <row r="42" spans="1:13" ht="29.15" customHeight="1" x14ac:dyDescent="0.3">
      <c r="A42" s="697"/>
      <c r="B42" s="683" t="s">
        <v>223</v>
      </c>
      <c r="C42" s="683" t="s">
        <v>221</v>
      </c>
      <c r="D42" s="688" t="s">
        <v>187</v>
      </c>
      <c r="E42" s="60" t="s">
        <v>192</v>
      </c>
      <c r="F42" s="582">
        <v>28638</v>
      </c>
      <c r="G42" s="62">
        <v>34201</v>
      </c>
      <c r="H42" s="62">
        <v>40328</v>
      </c>
      <c r="I42" s="62">
        <v>47360</v>
      </c>
      <c r="J42" s="62">
        <v>54569</v>
      </c>
      <c r="K42" s="62">
        <v>62773</v>
      </c>
      <c r="L42" s="62">
        <v>70811</v>
      </c>
      <c r="M42" s="66">
        <v>79170</v>
      </c>
    </row>
    <row r="43" spans="1:13" ht="29.15" customHeight="1" x14ac:dyDescent="0.3">
      <c r="A43" s="697"/>
      <c r="B43" s="684"/>
      <c r="C43" s="684"/>
      <c r="D43" s="688"/>
      <c r="E43" s="60" t="s">
        <v>193</v>
      </c>
      <c r="F43" s="582">
        <v>70223</v>
      </c>
      <c r="G43" s="62">
        <v>64003</v>
      </c>
      <c r="H43" s="62">
        <v>57360</v>
      </c>
      <c r="I43" s="62">
        <v>45082</v>
      </c>
      <c r="J43" s="62">
        <v>36612</v>
      </c>
      <c r="K43" s="62">
        <v>28535</v>
      </c>
      <c r="L43" s="62">
        <v>20209</v>
      </c>
      <c r="M43" s="66">
        <v>10254</v>
      </c>
    </row>
    <row r="44" spans="1:13" ht="29.15" customHeight="1" x14ac:dyDescent="0.3">
      <c r="A44" s="697"/>
      <c r="B44" s="684"/>
      <c r="C44" s="684"/>
      <c r="D44" s="688"/>
      <c r="E44" s="60" t="s">
        <v>194</v>
      </c>
      <c r="F44" s="582">
        <v>28105</v>
      </c>
      <c r="G44" s="62">
        <v>27833</v>
      </c>
      <c r="H44" s="62">
        <v>26652</v>
      </c>
      <c r="I44" s="62">
        <v>25099</v>
      </c>
      <c r="J44" s="62">
        <v>23735</v>
      </c>
      <c r="K44" s="62">
        <v>22313</v>
      </c>
      <c r="L44" s="62">
        <v>20925</v>
      </c>
      <c r="M44" s="66">
        <v>19435</v>
      </c>
    </row>
    <row r="45" spans="1:13" ht="29.15" customHeight="1" x14ac:dyDescent="0.3">
      <c r="A45" s="697"/>
      <c r="B45" s="684"/>
      <c r="C45" s="684"/>
      <c r="D45" s="688"/>
      <c r="E45" s="60" t="s">
        <v>195</v>
      </c>
      <c r="F45" s="582" t="s">
        <v>50</v>
      </c>
      <c r="G45" s="62" t="s">
        <v>50</v>
      </c>
      <c r="H45" s="62" t="s">
        <v>50</v>
      </c>
      <c r="I45" s="62" t="s">
        <v>50</v>
      </c>
      <c r="J45" s="62" t="s">
        <v>50</v>
      </c>
      <c r="K45" s="62" t="s">
        <v>50</v>
      </c>
      <c r="L45" s="62" t="s">
        <v>50</v>
      </c>
      <c r="M45" s="66" t="s">
        <v>50</v>
      </c>
    </row>
    <row r="46" spans="1:13" ht="29.15" customHeight="1" x14ac:dyDescent="0.3">
      <c r="A46" s="697"/>
      <c r="B46" s="684"/>
      <c r="C46" s="684"/>
      <c r="D46" s="688"/>
      <c r="E46" s="60" t="s">
        <v>196</v>
      </c>
      <c r="F46" s="582" t="s">
        <v>50</v>
      </c>
      <c r="G46" s="62" t="s">
        <v>50</v>
      </c>
      <c r="H46" s="62" t="s">
        <v>50</v>
      </c>
      <c r="I46" s="62">
        <v>967</v>
      </c>
      <c r="J46" s="62">
        <v>1674</v>
      </c>
      <c r="K46" s="62">
        <v>2023</v>
      </c>
      <c r="L46" s="62">
        <v>2591</v>
      </c>
      <c r="M46" s="66">
        <v>3771</v>
      </c>
    </row>
    <row r="47" spans="1:13" ht="29.15" customHeight="1" x14ac:dyDescent="0.3">
      <c r="A47" s="697"/>
      <c r="B47" s="684"/>
      <c r="C47" s="684"/>
      <c r="D47" s="688"/>
      <c r="E47" s="60" t="s">
        <v>197</v>
      </c>
      <c r="F47" s="582" t="s">
        <v>50</v>
      </c>
      <c r="G47" s="62" t="s">
        <v>50</v>
      </c>
      <c r="H47" s="62" t="s">
        <v>50</v>
      </c>
      <c r="I47" s="62">
        <v>4003</v>
      </c>
      <c r="J47" s="62">
        <v>4087</v>
      </c>
      <c r="K47" s="62">
        <v>3572</v>
      </c>
      <c r="L47" s="62">
        <v>3062</v>
      </c>
      <c r="M47" s="66">
        <v>3078</v>
      </c>
    </row>
    <row r="48" spans="1:13" ht="29.15" customHeight="1" x14ac:dyDescent="0.3">
      <c r="A48" s="697"/>
      <c r="B48" s="684"/>
      <c r="C48" s="684"/>
      <c r="D48" s="688"/>
      <c r="E48" s="60" t="s">
        <v>198</v>
      </c>
      <c r="F48" s="582">
        <v>84</v>
      </c>
      <c r="G48" s="62">
        <v>84</v>
      </c>
      <c r="H48" s="62">
        <v>86</v>
      </c>
      <c r="I48" s="62">
        <v>91</v>
      </c>
      <c r="J48" s="62">
        <v>93</v>
      </c>
      <c r="K48" s="62">
        <v>94</v>
      </c>
      <c r="L48" s="62">
        <v>100</v>
      </c>
      <c r="M48" s="66">
        <v>119</v>
      </c>
    </row>
    <row r="49" spans="1:13" ht="29.15" customHeight="1" x14ac:dyDescent="0.3">
      <c r="A49" s="697"/>
      <c r="B49" s="684"/>
      <c r="C49" s="684"/>
      <c r="D49" s="688"/>
      <c r="E49" s="60" t="s">
        <v>199</v>
      </c>
      <c r="F49" s="582">
        <v>387</v>
      </c>
      <c r="G49" s="62">
        <v>24</v>
      </c>
      <c r="H49" s="62">
        <v>10</v>
      </c>
      <c r="I49" s="62">
        <v>7</v>
      </c>
      <c r="J49" s="62">
        <v>6</v>
      </c>
      <c r="K49" s="62">
        <v>6</v>
      </c>
      <c r="L49" s="62">
        <v>3</v>
      </c>
      <c r="M49" s="66">
        <v>2</v>
      </c>
    </row>
    <row r="50" spans="1:13" ht="29.15" customHeight="1" x14ac:dyDescent="0.3">
      <c r="A50" s="697"/>
      <c r="B50" s="684"/>
      <c r="C50" s="684"/>
      <c r="D50" s="688"/>
      <c r="E50" s="60" t="s">
        <v>200</v>
      </c>
      <c r="F50" s="582" t="s">
        <v>50</v>
      </c>
      <c r="G50" s="62" t="s">
        <v>50</v>
      </c>
      <c r="H50" s="62" t="s">
        <v>50</v>
      </c>
      <c r="I50" s="62" t="s">
        <v>50</v>
      </c>
      <c r="J50" s="62" t="s">
        <v>50</v>
      </c>
      <c r="K50" s="62">
        <v>1</v>
      </c>
      <c r="L50" s="62" t="s">
        <v>50</v>
      </c>
      <c r="M50" s="66" t="s">
        <v>50</v>
      </c>
    </row>
    <row r="51" spans="1:13" ht="29.15" customHeight="1" x14ac:dyDescent="0.3">
      <c r="A51" s="697"/>
      <c r="B51" s="684"/>
      <c r="C51" s="684"/>
      <c r="D51" s="688"/>
      <c r="E51" s="60" t="s">
        <v>201</v>
      </c>
      <c r="F51" s="582">
        <v>295</v>
      </c>
      <c r="G51" s="62">
        <v>369</v>
      </c>
      <c r="H51" s="62">
        <v>13</v>
      </c>
      <c r="I51" s="62">
        <v>1</v>
      </c>
      <c r="J51" s="62">
        <v>1</v>
      </c>
      <c r="K51" s="62" t="s">
        <v>50</v>
      </c>
      <c r="L51" s="62">
        <v>4</v>
      </c>
      <c r="M51" s="66" t="s">
        <v>50</v>
      </c>
    </row>
    <row r="52" spans="1:13" ht="29.15" customHeight="1" x14ac:dyDescent="0.3">
      <c r="A52" s="697"/>
      <c r="B52" s="684"/>
      <c r="C52" s="684"/>
      <c r="D52" s="688"/>
      <c r="E52" s="60" t="s">
        <v>202</v>
      </c>
      <c r="F52" s="582" t="s">
        <v>50</v>
      </c>
      <c r="G52" s="62" t="s">
        <v>50</v>
      </c>
      <c r="H52" s="62" t="s">
        <v>50</v>
      </c>
      <c r="I52" s="62" t="s">
        <v>50</v>
      </c>
      <c r="J52" s="62" t="s">
        <v>50</v>
      </c>
      <c r="K52" s="62" t="s">
        <v>50</v>
      </c>
      <c r="L52" s="62" t="s">
        <v>50</v>
      </c>
      <c r="M52" s="66" t="s">
        <v>50</v>
      </c>
    </row>
    <row r="53" spans="1:13" ht="29.15" customHeight="1" x14ac:dyDescent="0.3">
      <c r="A53" s="697"/>
      <c r="B53" s="685"/>
      <c r="C53" s="685"/>
      <c r="D53" s="688"/>
      <c r="E53" s="60" t="s">
        <v>203</v>
      </c>
      <c r="F53" s="582" t="s">
        <v>50</v>
      </c>
      <c r="G53" s="62" t="s">
        <v>50</v>
      </c>
      <c r="H53" s="62" t="s">
        <v>50</v>
      </c>
      <c r="I53" s="62" t="s">
        <v>50</v>
      </c>
      <c r="J53" s="62" t="s">
        <v>50</v>
      </c>
      <c r="K53" s="62" t="s">
        <v>50</v>
      </c>
      <c r="L53" s="62" t="s">
        <v>50</v>
      </c>
      <c r="M53" s="66" t="s">
        <v>50</v>
      </c>
    </row>
    <row r="54" spans="1:13" ht="29.15" customHeight="1" x14ac:dyDescent="0.3">
      <c r="A54" s="697"/>
      <c r="B54" s="683" t="s">
        <v>223</v>
      </c>
      <c r="C54" s="683" t="s">
        <v>188</v>
      </c>
      <c r="D54" s="688" t="s">
        <v>186</v>
      </c>
      <c r="E54" s="60" t="s">
        <v>192</v>
      </c>
      <c r="F54" s="582">
        <v>763</v>
      </c>
      <c r="G54" s="62">
        <v>936</v>
      </c>
      <c r="H54" s="62">
        <v>1082</v>
      </c>
      <c r="I54" s="62">
        <v>1277</v>
      </c>
      <c r="J54" s="62">
        <v>1298</v>
      </c>
      <c r="K54" s="62">
        <v>1389</v>
      </c>
      <c r="L54" s="62">
        <v>1595</v>
      </c>
      <c r="M54" s="66">
        <v>1767</v>
      </c>
    </row>
    <row r="55" spans="1:13" ht="29.15" customHeight="1" x14ac:dyDescent="0.3">
      <c r="A55" s="697"/>
      <c r="B55" s="684"/>
      <c r="C55" s="684"/>
      <c r="D55" s="688"/>
      <c r="E55" s="60" t="s">
        <v>193</v>
      </c>
      <c r="F55" s="582">
        <v>2350</v>
      </c>
      <c r="G55" s="62">
        <v>2178</v>
      </c>
      <c r="H55" s="62">
        <v>1911</v>
      </c>
      <c r="I55" s="62">
        <v>1589</v>
      </c>
      <c r="J55" s="62">
        <v>1292</v>
      </c>
      <c r="K55" s="62">
        <v>958</v>
      </c>
      <c r="L55" s="62">
        <v>640</v>
      </c>
      <c r="M55" s="66">
        <v>353</v>
      </c>
    </row>
    <row r="56" spans="1:13" ht="29.15" customHeight="1" x14ac:dyDescent="0.3">
      <c r="A56" s="697"/>
      <c r="B56" s="684"/>
      <c r="C56" s="684"/>
      <c r="D56" s="688"/>
      <c r="E56" s="60" t="s">
        <v>194</v>
      </c>
      <c r="F56" s="582">
        <v>744</v>
      </c>
      <c r="G56" s="62">
        <v>740</v>
      </c>
      <c r="H56" s="62">
        <v>731</v>
      </c>
      <c r="I56" s="62">
        <v>669</v>
      </c>
      <c r="J56" s="62">
        <v>562</v>
      </c>
      <c r="K56" s="62">
        <v>535</v>
      </c>
      <c r="L56" s="62">
        <v>411</v>
      </c>
      <c r="M56" s="66">
        <v>334</v>
      </c>
    </row>
    <row r="57" spans="1:13" ht="29.15" customHeight="1" x14ac:dyDescent="0.3">
      <c r="A57" s="697"/>
      <c r="B57" s="684"/>
      <c r="C57" s="684"/>
      <c r="D57" s="688"/>
      <c r="E57" s="60" t="s">
        <v>195</v>
      </c>
      <c r="F57" s="582" t="s">
        <v>50</v>
      </c>
      <c r="G57" s="62" t="s">
        <v>50</v>
      </c>
      <c r="H57" s="62" t="s">
        <v>50</v>
      </c>
      <c r="I57" s="62" t="s">
        <v>50</v>
      </c>
      <c r="J57" s="62" t="s">
        <v>50</v>
      </c>
      <c r="K57" s="62" t="s">
        <v>50</v>
      </c>
      <c r="L57" s="62" t="s">
        <v>50</v>
      </c>
      <c r="M57" s="66" t="s">
        <v>50</v>
      </c>
    </row>
    <row r="58" spans="1:13" ht="29.15" customHeight="1" x14ac:dyDescent="0.3">
      <c r="A58" s="697"/>
      <c r="B58" s="684"/>
      <c r="C58" s="684"/>
      <c r="D58" s="688"/>
      <c r="E58" s="60" t="s">
        <v>196</v>
      </c>
      <c r="F58" s="582" t="s">
        <v>50</v>
      </c>
      <c r="G58" s="62" t="s">
        <v>50</v>
      </c>
      <c r="H58" s="62" t="s">
        <v>50</v>
      </c>
      <c r="I58" s="62" t="s">
        <v>50</v>
      </c>
      <c r="J58" s="62" t="s">
        <v>50</v>
      </c>
      <c r="K58" s="62" t="s">
        <v>50</v>
      </c>
      <c r="L58" s="62" t="s">
        <v>50</v>
      </c>
      <c r="M58" s="66" t="s">
        <v>50</v>
      </c>
    </row>
    <row r="59" spans="1:13" ht="29.15" customHeight="1" x14ac:dyDescent="0.3">
      <c r="A59" s="697"/>
      <c r="B59" s="684"/>
      <c r="C59" s="684"/>
      <c r="D59" s="688"/>
      <c r="E59" s="60" t="s">
        <v>197</v>
      </c>
      <c r="F59" s="582" t="s">
        <v>50</v>
      </c>
      <c r="G59" s="62" t="s">
        <v>50</v>
      </c>
      <c r="H59" s="62" t="s">
        <v>50</v>
      </c>
      <c r="I59" s="62">
        <v>45</v>
      </c>
      <c r="J59" s="62">
        <v>106</v>
      </c>
      <c r="K59" s="62">
        <v>165</v>
      </c>
      <c r="L59" s="62">
        <v>93</v>
      </c>
      <c r="M59" s="66">
        <v>87</v>
      </c>
    </row>
    <row r="60" spans="1:13" ht="29.15" customHeight="1" x14ac:dyDescent="0.3">
      <c r="A60" s="697"/>
      <c r="B60" s="684"/>
      <c r="C60" s="684"/>
      <c r="D60" s="688"/>
      <c r="E60" s="60" t="s">
        <v>198</v>
      </c>
      <c r="F60" s="582" t="s">
        <v>50</v>
      </c>
      <c r="G60" s="62" t="s">
        <v>50</v>
      </c>
      <c r="H60" s="62" t="s">
        <v>50</v>
      </c>
      <c r="I60" s="62" t="s">
        <v>50</v>
      </c>
      <c r="J60" s="62" t="s">
        <v>50</v>
      </c>
      <c r="K60" s="62" t="s">
        <v>50</v>
      </c>
      <c r="L60" s="62" t="s">
        <v>50</v>
      </c>
      <c r="M60" s="66" t="s">
        <v>50</v>
      </c>
    </row>
    <row r="61" spans="1:13" ht="29.15" customHeight="1" x14ac:dyDescent="0.3">
      <c r="A61" s="697"/>
      <c r="B61" s="684"/>
      <c r="C61" s="684"/>
      <c r="D61" s="688"/>
      <c r="E61" s="60" t="s">
        <v>199</v>
      </c>
      <c r="F61" s="582">
        <v>14</v>
      </c>
      <c r="G61" s="62">
        <v>14</v>
      </c>
      <c r="H61" s="62">
        <v>14</v>
      </c>
      <c r="I61" s="62" t="s">
        <v>50</v>
      </c>
      <c r="J61" s="62" t="s">
        <v>50</v>
      </c>
      <c r="K61" s="62" t="s">
        <v>50</v>
      </c>
      <c r="L61" s="62" t="s">
        <v>50</v>
      </c>
      <c r="M61" s="66" t="s">
        <v>50</v>
      </c>
    </row>
    <row r="62" spans="1:13" ht="29.15" customHeight="1" x14ac:dyDescent="0.3">
      <c r="A62" s="697"/>
      <c r="B62" s="684"/>
      <c r="C62" s="684"/>
      <c r="D62" s="688"/>
      <c r="E62" s="60" t="s">
        <v>200</v>
      </c>
      <c r="F62" s="582" t="s">
        <v>50</v>
      </c>
      <c r="G62" s="62" t="s">
        <v>50</v>
      </c>
      <c r="H62" s="62" t="s">
        <v>50</v>
      </c>
      <c r="I62" s="62" t="s">
        <v>50</v>
      </c>
      <c r="J62" s="62" t="s">
        <v>50</v>
      </c>
      <c r="K62" s="62" t="s">
        <v>50</v>
      </c>
      <c r="L62" s="62" t="s">
        <v>50</v>
      </c>
      <c r="M62" s="66" t="s">
        <v>50</v>
      </c>
    </row>
    <row r="63" spans="1:13" ht="29.15" customHeight="1" x14ac:dyDescent="0.3">
      <c r="A63" s="697"/>
      <c r="B63" s="684"/>
      <c r="C63" s="684"/>
      <c r="D63" s="688"/>
      <c r="E63" s="60" t="s">
        <v>201</v>
      </c>
      <c r="F63" s="582">
        <v>48</v>
      </c>
      <c r="G63" s="62" t="s">
        <v>50</v>
      </c>
      <c r="H63" s="62" t="s">
        <v>50</v>
      </c>
      <c r="I63" s="62">
        <v>14</v>
      </c>
      <c r="J63" s="62" t="s">
        <v>50</v>
      </c>
      <c r="K63" s="62" t="s">
        <v>50</v>
      </c>
      <c r="L63" s="62" t="s">
        <v>50</v>
      </c>
      <c r="M63" s="66" t="s">
        <v>50</v>
      </c>
    </row>
    <row r="64" spans="1:13" ht="29.15" customHeight="1" x14ac:dyDescent="0.3">
      <c r="A64" s="697"/>
      <c r="B64" s="684"/>
      <c r="C64" s="684"/>
      <c r="D64" s="688"/>
      <c r="E64" s="60" t="s">
        <v>202</v>
      </c>
      <c r="F64" s="582" t="s">
        <v>50</v>
      </c>
      <c r="G64" s="62" t="s">
        <v>50</v>
      </c>
      <c r="H64" s="62" t="s">
        <v>50</v>
      </c>
      <c r="I64" s="62" t="s">
        <v>50</v>
      </c>
      <c r="J64" s="62" t="s">
        <v>50</v>
      </c>
      <c r="K64" s="62" t="s">
        <v>50</v>
      </c>
      <c r="L64" s="62" t="s">
        <v>50</v>
      </c>
      <c r="M64" s="66" t="s">
        <v>50</v>
      </c>
    </row>
    <row r="65" spans="1:13" ht="29.15" customHeight="1" x14ac:dyDescent="0.3">
      <c r="A65" s="697"/>
      <c r="B65" s="685"/>
      <c r="C65" s="685"/>
      <c r="D65" s="688"/>
      <c r="E65" s="60" t="s">
        <v>203</v>
      </c>
      <c r="F65" s="582" t="s">
        <v>50</v>
      </c>
      <c r="G65" s="62" t="s">
        <v>50</v>
      </c>
      <c r="H65" s="62" t="s">
        <v>50</v>
      </c>
      <c r="I65" s="62" t="s">
        <v>50</v>
      </c>
      <c r="J65" s="62" t="s">
        <v>50</v>
      </c>
      <c r="K65" s="62" t="s">
        <v>50</v>
      </c>
      <c r="L65" s="62" t="s">
        <v>50</v>
      </c>
      <c r="M65" s="66" t="s">
        <v>50</v>
      </c>
    </row>
    <row r="66" spans="1:13" ht="29.15" customHeight="1" x14ac:dyDescent="0.3">
      <c r="A66" s="697"/>
      <c r="B66" s="683" t="s">
        <v>223</v>
      </c>
      <c r="C66" s="683" t="s">
        <v>222</v>
      </c>
      <c r="D66" s="688" t="s">
        <v>187</v>
      </c>
      <c r="E66" s="60" t="s">
        <v>192</v>
      </c>
      <c r="F66" s="582">
        <v>5580</v>
      </c>
      <c r="G66" s="62">
        <v>7227</v>
      </c>
      <c r="H66" s="62">
        <v>9035</v>
      </c>
      <c r="I66" s="62">
        <v>10853</v>
      </c>
      <c r="J66" s="62">
        <v>13118</v>
      </c>
      <c r="K66" s="62">
        <v>15703</v>
      </c>
      <c r="L66" s="62">
        <v>18667</v>
      </c>
      <c r="M66" s="66">
        <v>21656</v>
      </c>
    </row>
    <row r="67" spans="1:13" ht="29.15" customHeight="1" x14ac:dyDescent="0.3">
      <c r="A67" s="697"/>
      <c r="B67" s="684"/>
      <c r="C67" s="684"/>
      <c r="D67" s="688"/>
      <c r="E67" s="60" t="s">
        <v>193</v>
      </c>
      <c r="F67" s="582">
        <v>18587</v>
      </c>
      <c r="G67" s="62">
        <v>17099</v>
      </c>
      <c r="H67" s="62">
        <v>15175</v>
      </c>
      <c r="I67" s="62">
        <v>13313</v>
      </c>
      <c r="J67" s="62">
        <v>11288</v>
      </c>
      <c r="K67" s="62">
        <v>8933</v>
      </c>
      <c r="L67" s="62">
        <v>6309</v>
      </c>
      <c r="M67" s="66">
        <v>3753</v>
      </c>
    </row>
    <row r="68" spans="1:13" ht="29.15" customHeight="1" x14ac:dyDescent="0.3">
      <c r="A68" s="697"/>
      <c r="B68" s="684"/>
      <c r="C68" s="684"/>
      <c r="D68" s="688"/>
      <c r="E68" s="60" t="s">
        <v>194</v>
      </c>
      <c r="F68" s="582">
        <v>10018</v>
      </c>
      <c r="G68" s="62">
        <v>9936</v>
      </c>
      <c r="H68" s="62">
        <v>9786</v>
      </c>
      <c r="I68" s="62">
        <v>9690</v>
      </c>
      <c r="J68" s="62">
        <v>9610</v>
      </c>
      <c r="K68" s="62">
        <v>9460</v>
      </c>
      <c r="L68" s="62">
        <v>9046</v>
      </c>
      <c r="M68" s="66">
        <v>8887</v>
      </c>
    </row>
    <row r="69" spans="1:13" ht="29.15" customHeight="1" x14ac:dyDescent="0.3">
      <c r="A69" s="697"/>
      <c r="B69" s="684"/>
      <c r="C69" s="684"/>
      <c r="D69" s="688"/>
      <c r="E69" s="60" t="s">
        <v>195</v>
      </c>
      <c r="F69" s="582" t="s">
        <v>50</v>
      </c>
      <c r="G69" s="62" t="s">
        <v>50</v>
      </c>
      <c r="H69" s="62" t="s">
        <v>50</v>
      </c>
      <c r="I69" s="62" t="s">
        <v>50</v>
      </c>
      <c r="J69" s="62" t="s">
        <v>50</v>
      </c>
      <c r="K69" s="62" t="s">
        <v>50</v>
      </c>
      <c r="L69" s="62" t="s">
        <v>50</v>
      </c>
      <c r="M69" s="66" t="s">
        <v>50</v>
      </c>
    </row>
    <row r="70" spans="1:13" ht="29.15" customHeight="1" x14ac:dyDescent="0.3">
      <c r="A70" s="697"/>
      <c r="B70" s="684"/>
      <c r="C70" s="684"/>
      <c r="D70" s="688"/>
      <c r="E70" s="60" t="s">
        <v>196</v>
      </c>
      <c r="F70" s="582" t="s">
        <v>50</v>
      </c>
      <c r="G70" s="62" t="s">
        <v>50</v>
      </c>
      <c r="H70" s="62" t="s">
        <v>50</v>
      </c>
      <c r="I70" s="62" t="s">
        <v>50</v>
      </c>
      <c r="J70" s="62" t="s">
        <v>50</v>
      </c>
      <c r="K70" s="62" t="s">
        <v>50</v>
      </c>
      <c r="L70" s="62" t="s">
        <v>50</v>
      </c>
      <c r="M70" s="66" t="s">
        <v>50</v>
      </c>
    </row>
    <row r="71" spans="1:13" ht="29.15" customHeight="1" x14ac:dyDescent="0.3">
      <c r="A71" s="697"/>
      <c r="B71" s="684"/>
      <c r="C71" s="684"/>
      <c r="D71" s="688"/>
      <c r="E71" s="60" t="s">
        <v>197</v>
      </c>
      <c r="F71" s="582" t="s">
        <v>50</v>
      </c>
      <c r="G71" s="62" t="s">
        <v>50</v>
      </c>
      <c r="H71" s="62" t="s">
        <v>50</v>
      </c>
      <c r="I71" s="62">
        <v>401</v>
      </c>
      <c r="J71" s="62">
        <v>492</v>
      </c>
      <c r="K71" s="62">
        <v>760</v>
      </c>
      <c r="L71" s="62">
        <v>834</v>
      </c>
      <c r="M71" s="66">
        <v>813</v>
      </c>
    </row>
    <row r="72" spans="1:13" ht="29.15" customHeight="1" x14ac:dyDescent="0.3">
      <c r="A72" s="697"/>
      <c r="B72" s="684"/>
      <c r="C72" s="684"/>
      <c r="D72" s="688"/>
      <c r="E72" s="60" t="s">
        <v>198</v>
      </c>
      <c r="F72" s="582">
        <v>37</v>
      </c>
      <c r="G72" s="62">
        <v>40</v>
      </c>
      <c r="H72" s="62">
        <v>44</v>
      </c>
      <c r="I72" s="62">
        <v>47</v>
      </c>
      <c r="J72" s="62">
        <v>51</v>
      </c>
      <c r="K72" s="62">
        <v>55</v>
      </c>
      <c r="L72" s="62">
        <v>55</v>
      </c>
      <c r="M72" s="66">
        <v>58</v>
      </c>
    </row>
    <row r="73" spans="1:13" ht="29.15" customHeight="1" x14ac:dyDescent="0.3">
      <c r="A73" s="697"/>
      <c r="B73" s="684"/>
      <c r="C73" s="684"/>
      <c r="D73" s="688"/>
      <c r="E73" s="60" t="s">
        <v>199</v>
      </c>
      <c r="F73" s="582">
        <v>15</v>
      </c>
      <c r="G73" s="62">
        <v>11</v>
      </c>
      <c r="H73" s="62">
        <v>13</v>
      </c>
      <c r="I73" s="62">
        <v>13</v>
      </c>
      <c r="J73" s="62">
        <v>9</v>
      </c>
      <c r="K73" s="62">
        <v>9</v>
      </c>
      <c r="L73" s="62">
        <v>6</v>
      </c>
      <c r="M73" s="66">
        <v>4</v>
      </c>
    </row>
    <row r="74" spans="1:13" ht="29.15" customHeight="1" x14ac:dyDescent="0.3">
      <c r="A74" s="697"/>
      <c r="B74" s="684"/>
      <c r="C74" s="684"/>
      <c r="D74" s="688"/>
      <c r="E74" s="60" t="s">
        <v>200</v>
      </c>
      <c r="F74" s="582" t="s">
        <v>50</v>
      </c>
      <c r="G74" s="62" t="s">
        <v>50</v>
      </c>
      <c r="H74" s="62" t="s">
        <v>50</v>
      </c>
      <c r="I74" s="62" t="s">
        <v>50</v>
      </c>
      <c r="J74" s="62" t="s">
        <v>50</v>
      </c>
      <c r="K74" s="62" t="s">
        <v>50</v>
      </c>
      <c r="L74" s="62" t="s">
        <v>50</v>
      </c>
      <c r="M74" s="66" t="s">
        <v>50</v>
      </c>
    </row>
    <row r="75" spans="1:13" ht="29.15" customHeight="1" x14ac:dyDescent="0.3">
      <c r="A75" s="697"/>
      <c r="B75" s="684"/>
      <c r="C75" s="684"/>
      <c r="D75" s="688"/>
      <c r="E75" s="60" t="s">
        <v>201</v>
      </c>
      <c r="F75" s="582">
        <v>8</v>
      </c>
      <c r="G75" s="62">
        <v>5</v>
      </c>
      <c r="H75" s="62">
        <v>1</v>
      </c>
      <c r="I75" s="62" t="s">
        <v>50</v>
      </c>
      <c r="J75" s="62">
        <v>4</v>
      </c>
      <c r="K75" s="62">
        <v>1</v>
      </c>
      <c r="L75" s="62">
        <v>3</v>
      </c>
      <c r="M75" s="66">
        <v>2</v>
      </c>
    </row>
    <row r="76" spans="1:13" ht="29.15" customHeight="1" x14ac:dyDescent="0.3">
      <c r="A76" s="697"/>
      <c r="B76" s="684"/>
      <c r="C76" s="684"/>
      <c r="D76" s="688"/>
      <c r="E76" s="60" t="s">
        <v>202</v>
      </c>
      <c r="F76" s="582" t="s">
        <v>50</v>
      </c>
      <c r="G76" s="62" t="s">
        <v>50</v>
      </c>
      <c r="H76" s="62" t="s">
        <v>50</v>
      </c>
      <c r="I76" s="62" t="s">
        <v>50</v>
      </c>
      <c r="J76" s="62" t="s">
        <v>50</v>
      </c>
      <c r="K76" s="62" t="s">
        <v>50</v>
      </c>
      <c r="L76" s="62" t="s">
        <v>50</v>
      </c>
      <c r="M76" s="66" t="s">
        <v>50</v>
      </c>
    </row>
    <row r="77" spans="1:13" ht="29.15" customHeight="1" thickBot="1" x14ac:dyDescent="0.35">
      <c r="A77" s="697"/>
      <c r="B77" s="686"/>
      <c r="C77" s="686"/>
      <c r="D77" s="703"/>
      <c r="E77" s="73" t="s">
        <v>203</v>
      </c>
      <c r="F77" s="583" t="s">
        <v>50</v>
      </c>
      <c r="G77" s="71" t="s">
        <v>50</v>
      </c>
      <c r="H77" s="71" t="s">
        <v>50</v>
      </c>
      <c r="I77" s="71" t="s">
        <v>50</v>
      </c>
      <c r="J77" s="71" t="s">
        <v>50</v>
      </c>
      <c r="K77" s="71" t="s">
        <v>50</v>
      </c>
      <c r="L77" s="71" t="s">
        <v>50</v>
      </c>
      <c r="M77" s="72" t="s">
        <v>50</v>
      </c>
    </row>
    <row r="78" spans="1:13" ht="29.15" customHeight="1" thickTop="1" x14ac:dyDescent="0.3">
      <c r="A78" s="698"/>
      <c r="B78" s="699" t="s">
        <v>62</v>
      </c>
      <c r="C78" s="699"/>
      <c r="D78" s="699"/>
      <c r="E78" s="699"/>
      <c r="F78" s="79">
        <f>SUM(F17:F77)</f>
        <v>188287</v>
      </c>
      <c r="G78" s="80">
        <v>187161</v>
      </c>
      <c r="H78" s="69">
        <f>SUM(H17:H77)</f>
        <v>184776</v>
      </c>
      <c r="I78" s="69">
        <f>SUM(I17:I77)</f>
        <v>182734</v>
      </c>
      <c r="J78" s="69">
        <f t="shared" ref="J78:M78" si="1">SUM(J17:J77)</f>
        <v>180765</v>
      </c>
      <c r="K78" s="69">
        <f t="shared" si="1"/>
        <v>179897</v>
      </c>
      <c r="L78" s="69">
        <f t="shared" si="1"/>
        <v>178202</v>
      </c>
      <c r="M78" s="81">
        <f t="shared" si="1"/>
        <v>176863</v>
      </c>
    </row>
    <row r="79" spans="1:13" ht="29.15" customHeight="1" x14ac:dyDescent="0.3">
      <c r="A79" s="696" t="s">
        <v>189</v>
      </c>
      <c r="B79" s="700" t="s">
        <v>208</v>
      </c>
      <c r="C79" s="700"/>
      <c r="D79" s="700"/>
      <c r="E79" s="700"/>
      <c r="F79" s="581">
        <v>3166</v>
      </c>
      <c r="G79" s="64">
        <v>3169</v>
      </c>
      <c r="H79" s="64">
        <v>3224</v>
      </c>
      <c r="I79" s="64">
        <v>3254</v>
      </c>
      <c r="J79" s="64">
        <v>3284</v>
      </c>
      <c r="K79" s="64">
        <v>3336</v>
      </c>
      <c r="L79" s="64">
        <v>3402</v>
      </c>
      <c r="M79" s="65">
        <v>3458</v>
      </c>
    </row>
    <row r="80" spans="1:13" ht="29.15" customHeight="1" x14ac:dyDescent="0.3">
      <c r="A80" s="697"/>
      <c r="B80" s="701" t="s">
        <v>61</v>
      </c>
      <c r="C80" s="701"/>
      <c r="D80" s="701"/>
      <c r="E80" s="61" t="s">
        <v>190</v>
      </c>
      <c r="F80" s="582">
        <v>1044</v>
      </c>
      <c r="G80" s="62">
        <v>1034</v>
      </c>
      <c r="H80" s="62">
        <v>1033</v>
      </c>
      <c r="I80" s="62">
        <v>1038</v>
      </c>
      <c r="J80" s="62">
        <v>1041</v>
      </c>
      <c r="K80" s="62">
        <v>1030</v>
      </c>
      <c r="L80" s="62">
        <v>1051</v>
      </c>
      <c r="M80" s="66">
        <v>1011</v>
      </c>
    </row>
    <row r="81" spans="1:13" ht="29.15" customHeight="1" thickBot="1" x14ac:dyDescent="0.35">
      <c r="A81" s="697"/>
      <c r="B81" s="702"/>
      <c r="C81" s="702"/>
      <c r="D81" s="702"/>
      <c r="E81" s="74" t="s">
        <v>191</v>
      </c>
      <c r="F81" s="583">
        <v>851</v>
      </c>
      <c r="G81" s="71">
        <v>818</v>
      </c>
      <c r="H81" s="71">
        <v>816</v>
      </c>
      <c r="I81" s="71">
        <v>801</v>
      </c>
      <c r="J81" s="71">
        <v>787</v>
      </c>
      <c r="K81" s="71">
        <v>723</v>
      </c>
      <c r="L81" s="71">
        <v>731</v>
      </c>
      <c r="M81" s="72">
        <v>704</v>
      </c>
    </row>
    <row r="82" spans="1:13" ht="29.15" customHeight="1" thickTop="1" x14ac:dyDescent="0.3">
      <c r="A82" s="698"/>
      <c r="B82" s="699" t="s">
        <v>62</v>
      </c>
      <c r="C82" s="699"/>
      <c r="D82" s="699"/>
      <c r="E82" s="699"/>
      <c r="F82" s="69">
        <f>SUM(F79:F81)</f>
        <v>5061</v>
      </c>
      <c r="G82" s="69">
        <v>5021</v>
      </c>
      <c r="H82" s="69">
        <f>SUM(H79:H81)</f>
        <v>5073</v>
      </c>
      <c r="I82" s="69">
        <f>SUM(I79:I81)</f>
        <v>5093</v>
      </c>
      <c r="J82" s="69">
        <f t="shared" ref="J82:M82" si="2">SUM(J79:J81)</f>
        <v>5112</v>
      </c>
      <c r="K82" s="69">
        <f t="shared" si="2"/>
        <v>5089</v>
      </c>
      <c r="L82" s="69">
        <f t="shared" si="2"/>
        <v>5184</v>
      </c>
      <c r="M82" s="81">
        <f t="shared" si="2"/>
        <v>5173</v>
      </c>
    </row>
    <row r="83" spans="1:13" ht="29.15" customHeight="1" thickBot="1" x14ac:dyDescent="0.35">
      <c r="A83" s="692" t="s">
        <v>205</v>
      </c>
      <c r="B83" s="693"/>
      <c r="C83" s="693"/>
      <c r="D83" s="693"/>
      <c r="E83" s="693"/>
      <c r="F83" s="584">
        <v>18403</v>
      </c>
      <c r="G83" s="75">
        <v>18239</v>
      </c>
      <c r="H83" s="75">
        <v>17684</v>
      </c>
      <c r="I83" s="75">
        <v>17074</v>
      </c>
      <c r="J83" s="75">
        <v>16583</v>
      </c>
      <c r="K83" s="75">
        <v>16565</v>
      </c>
      <c r="L83" s="75">
        <v>16555</v>
      </c>
      <c r="M83" s="76">
        <v>16806</v>
      </c>
    </row>
    <row r="84" spans="1:13" ht="29.15" customHeight="1" thickTop="1" x14ac:dyDescent="0.3">
      <c r="A84" s="694" t="s">
        <v>206</v>
      </c>
      <c r="B84" s="695"/>
      <c r="C84" s="695"/>
      <c r="D84" s="695"/>
      <c r="E84" s="695"/>
      <c r="F84" s="641">
        <f>F16+F78+F82+F83</f>
        <v>325726</v>
      </c>
      <c r="G84" s="80">
        <v>327026</v>
      </c>
      <c r="H84" s="80">
        <f>H16+H78+H82+H83</f>
        <v>327470</v>
      </c>
      <c r="I84" s="69">
        <f>I16+I78+I82+I83</f>
        <v>326800</v>
      </c>
      <c r="J84" s="69">
        <f t="shared" ref="J84:M84" si="3">J16+J78+J82+J83</f>
        <v>327161</v>
      </c>
      <c r="K84" s="69">
        <f t="shared" si="3"/>
        <v>329965</v>
      </c>
      <c r="L84" s="69">
        <f t="shared" si="3"/>
        <v>332055</v>
      </c>
      <c r="M84" s="81">
        <f t="shared" si="3"/>
        <v>335220</v>
      </c>
    </row>
  </sheetData>
  <customSheetViews>
    <customSheetView guid="{501209ED-4B79-4E52-B95E-748E5E77E24F}">
      <pane xSplit="5" ySplit="6" topLeftCell="F8" activePane="bottomRight" state="frozen"/>
      <selection pane="bottomRight" activeCell="F8" sqref="F8"/>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44">
    <mergeCell ref="A83:E83"/>
    <mergeCell ref="A84:E84"/>
    <mergeCell ref="A17:A78"/>
    <mergeCell ref="B16:E16"/>
    <mergeCell ref="B18:B29"/>
    <mergeCell ref="B78:E78"/>
    <mergeCell ref="A79:A82"/>
    <mergeCell ref="B79:E79"/>
    <mergeCell ref="B80:D81"/>
    <mergeCell ref="B82:E82"/>
    <mergeCell ref="C66:C77"/>
    <mergeCell ref="D66:D77"/>
    <mergeCell ref="C54:C65"/>
    <mergeCell ref="D42:D53"/>
    <mergeCell ref="B17:E17"/>
    <mergeCell ref="A8:A16"/>
    <mergeCell ref="B8:E8"/>
    <mergeCell ref="B15:E15"/>
    <mergeCell ref="B12:E12"/>
    <mergeCell ref="B11:E11"/>
    <mergeCell ref="B10:E10"/>
    <mergeCell ref="B9:E9"/>
    <mergeCell ref="B13:E13"/>
    <mergeCell ref="B14:E14"/>
    <mergeCell ref="C20:E20"/>
    <mergeCell ref="C19:E19"/>
    <mergeCell ref="C18:E18"/>
    <mergeCell ref="C30:C41"/>
    <mergeCell ref="C42:C53"/>
    <mergeCell ref="C27:E27"/>
    <mergeCell ref="C26:E26"/>
    <mergeCell ref="C25:E25"/>
    <mergeCell ref="C24:E24"/>
    <mergeCell ref="C23:E23"/>
    <mergeCell ref="C22:E22"/>
    <mergeCell ref="D30:D41"/>
    <mergeCell ref="C29:E29"/>
    <mergeCell ref="C28:E28"/>
    <mergeCell ref="B30:B41"/>
    <mergeCell ref="B42:B53"/>
    <mergeCell ref="B66:B77"/>
    <mergeCell ref="B54:B65"/>
    <mergeCell ref="C21:E21"/>
    <mergeCell ref="D54:D65"/>
  </mergeCells>
  <phoneticPr fontId="1"/>
  <conditionalFormatting sqref="G8:G12 G15:G84">
    <cfRule type="containsBlanks" dxfId="78" priority="19">
      <formula>LEN(TRIM(G8))=0</formula>
    </cfRule>
  </conditionalFormatting>
  <conditionalFormatting sqref="F19 F21:F29 F34 F36:F38 F40:F41 F45:F47 F50 F52:F53 F57:F60 F62 F64:F65">
    <cfRule type="containsBlanks" dxfId="77" priority="18">
      <formula>LEN(TRIM(F19))=0</formula>
    </cfRule>
  </conditionalFormatting>
  <conditionalFormatting sqref="G13:G14">
    <cfRule type="containsBlanks" dxfId="76" priority="17">
      <formula>LEN(TRIM(G13))=0</formula>
    </cfRule>
  </conditionalFormatting>
  <conditionalFormatting sqref="F83">
    <cfRule type="containsBlanks" dxfId="75" priority="1">
      <formula>LEN(TRIM(F83))=0</formula>
    </cfRule>
  </conditionalFormatting>
  <conditionalFormatting sqref="F8:F15">
    <cfRule type="containsBlanks" dxfId="74" priority="15">
      <formula>LEN(TRIM(F8))=0</formula>
    </cfRule>
  </conditionalFormatting>
  <conditionalFormatting sqref="F17:F18">
    <cfRule type="containsBlanks" dxfId="73" priority="14">
      <formula>LEN(TRIM(F17))=0</formula>
    </cfRule>
  </conditionalFormatting>
  <conditionalFormatting sqref="F20">
    <cfRule type="containsBlanks" dxfId="72" priority="13">
      <formula>LEN(TRIM(F20))=0</formula>
    </cfRule>
  </conditionalFormatting>
  <conditionalFormatting sqref="F30:F33">
    <cfRule type="containsBlanks" dxfId="71" priority="12">
      <formula>LEN(TRIM(F30))=0</formula>
    </cfRule>
  </conditionalFormatting>
  <conditionalFormatting sqref="F35">
    <cfRule type="containsBlanks" dxfId="70" priority="11">
      <formula>LEN(TRIM(F35))=0</formula>
    </cfRule>
  </conditionalFormatting>
  <conditionalFormatting sqref="F39">
    <cfRule type="containsBlanks" dxfId="69" priority="10">
      <formula>LEN(TRIM(F39))=0</formula>
    </cfRule>
  </conditionalFormatting>
  <conditionalFormatting sqref="F42:F44">
    <cfRule type="containsBlanks" dxfId="68" priority="9">
      <formula>LEN(TRIM(F42))=0</formula>
    </cfRule>
  </conditionalFormatting>
  <conditionalFormatting sqref="F48:F49">
    <cfRule type="containsBlanks" dxfId="67" priority="8">
      <formula>LEN(TRIM(F48))=0</formula>
    </cfRule>
  </conditionalFormatting>
  <conditionalFormatting sqref="F51">
    <cfRule type="containsBlanks" dxfId="66" priority="7">
      <formula>LEN(TRIM(F51))=0</formula>
    </cfRule>
  </conditionalFormatting>
  <conditionalFormatting sqref="F54:F56">
    <cfRule type="containsBlanks" dxfId="65" priority="6">
      <formula>LEN(TRIM(F54))=0</formula>
    </cfRule>
  </conditionalFormatting>
  <conditionalFormatting sqref="F61">
    <cfRule type="containsBlanks" dxfId="64" priority="5">
      <formula>LEN(TRIM(F61))=0</formula>
    </cfRule>
  </conditionalFormatting>
  <conditionalFormatting sqref="F63">
    <cfRule type="containsBlanks" dxfId="63" priority="4">
      <formula>LEN(TRIM(F63))=0</formula>
    </cfRule>
  </conditionalFormatting>
  <conditionalFormatting sqref="F66:F77">
    <cfRule type="containsBlanks" dxfId="62" priority="3">
      <formula>LEN(TRIM(F66))=0</formula>
    </cfRule>
  </conditionalFormatting>
  <conditionalFormatting sqref="F79:F81">
    <cfRule type="containsBlanks" dxfId="61" priority="2">
      <formula>LEN(TRIM(F79))=0</formula>
    </cfRule>
  </conditionalFormatting>
  <hyperlinks>
    <hyperlink ref="A1:D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Normal="100" workbookViewId="0">
      <pane xSplit="5" ySplit="6" topLeftCell="F7" activePane="bottomRight" state="frozen"/>
      <selection pane="topRight" activeCell="F1" sqref="F1"/>
      <selection pane="bottomLeft" activeCell="A7" sqref="A7"/>
      <selection pane="bottomRight" activeCell="B1" sqref="B1"/>
    </sheetView>
  </sheetViews>
  <sheetFormatPr defaultColWidth="8.58203125" defaultRowHeight="14.5" x14ac:dyDescent="0.35"/>
  <cols>
    <col min="1" max="4" width="3" style="4" bestFit="1" customWidth="1"/>
    <col min="5" max="5" width="18.08203125" style="4" bestFit="1" customWidth="1"/>
    <col min="6" max="8" width="10.33203125" style="1" customWidth="1"/>
    <col min="9" max="9" width="10.33203125" style="1" bestFit="1" customWidth="1"/>
    <col min="10" max="11" width="10.33203125" style="2" bestFit="1" customWidth="1"/>
    <col min="12" max="12" width="10.33203125" style="1" bestFit="1" customWidth="1"/>
    <col min="13" max="21" width="10.83203125" style="1" bestFit="1" customWidth="1"/>
    <col min="22" max="23" width="10.33203125" style="1" bestFit="1" customWidth="1"/>
    <col min="24" max="16384" width="8.58203125" style="1"/>
  </cols>
  <sheetData>
    <row r="1" spans="1:23" x14ac:dyDescent="0.35">
      <c r="A1" s="432" t="s">
        <v>438</v>
      </c>
      <c r="B1" s="434"/>
      <c r="C1" s="434"/>
      <c r="D1" s="434"/>
    </row>
    <row r="3" spans="1:23" s="8" customFormat="1" ht="20.149999999999999" customHeight="1" x14ac:dyDescent="0.45">
      <c r="A3" s="6" t="s">
        <v>181</v>
      </c>
      <c r="C3" s="6"/>
      <c r="D3" s="6"/>
      <c r="E3" s="6"/>
    </row>
    <row r="4" spans="1:23" s="8" customFormat="1" ht="20.149999999999999" customHeight="1" x14ac:dyDescent="0.45">
      <c r="A4" s="6" t="s">
        <v>224</v>
      </c>
      <c r="C4" s="6"/>
      <c r="D4" s="6"/>
      <c r="E4" s="6"/>
    </row>
    <row r="5" spans="1:23" s="8" customFormat="1" ht="14.5" customHeight="1" x14ac:dyDescent="0.35"/>
    <row r="6" spans="1:23" s="5" customFormat="1" ht="14.5" customHeight="1" x14ac:dyDescent="0.35">
      <c r="A6" s="5" t="s">
        <v>216</v>
      </c>
      <c r="B6" s="3"/>
      <c r="C6" s="3"/>
      <c r="D6" s="3"/>
      <c r="E6" s="3"/>
    </row>
    <row r="7" spans="1:23" s="21" customFormat="1" ht="20.149999999999999" customHeight="1" x14ac:dyDescent="0.35">
      <c r="A7" s="42"/>
      <c r="B7" s="42"/>
      <c r="C7" s="42"/>
      <c r="D7" s="42"/>
      <c r="E7" s="42"/>
      <c r="F7" s="622" t="s">
        <v>1129</v>
      </c>
      <c r="G7" s="596" t="s">
        <v>1112</v>
      </c>
      <c r="H7" s="325" t="s">
        <v>1088</v>
      </c>
      <c r="I7" s="530" t="s">
        <v>1091</v>
      </c>
      <c r="J7" s="325" t="s">
        <v>217</v>
      </c>
      <c r="K7" s="325" t="s">
        <v>218</v>
      </c>
      <c r="L7" s="325" t="s">
        <v>219</v>
      </c>
      <c r="M7" s="325" t="s">
        <v>220</v>
      </c>
      <c r="N7" s="45"/>
      <c r="O7" s="45"/>
      <c r="P7" s="45"/>
      <c r="Q7" s="45"/>
      <c r="R7" s="45"/>
      <c r="S7" s="45"/>
      <c r="T7" s="45"/>
      <c r="U7" s="45"/>
      <c r="V7" s="45"/>
      <c r="W7" s="45"/>
    </row>
    <row r="8" spans="1:23" ht="29.15" customHeight="1" x14ac:dyDescent="0.3">
      <c r="A8" s="696" t="s">
        <v>183</v>
      </c>
      <c r="B8" s="689" t="s">
        <v>210</v>
      </c>
      <c r="C8" s="689"/>
      <c r="D8" s="689"/>
      <c r="E8" s="689"/>
      <c r="F8" s="581">
        <v>68668</v>
      </c>
      <c r="G8" s="64">
        <v>72041</v>
      </c>
      <c r="H8" s="64">
        <v>75695</v>
      </c>
      <c r="I8" s="64">
        <v>79135</v>
      </c>
      <c r="J8" s="64">
        <v>82805</v>
      </c>
      <c r="K8" s="64">
        <v>86939</v>
      </c>
      <c r="L8" s="64">
        <v>91110</v>
      </c>
      <c r="M8" s="65">
        <v>95685</v>
      </c>
      <c r="N8" s="40"/>
      <c r="O8" s="40"/>
      <c r="P8" s="40"/>
      <c r="Q8" s="40"/>
      <c r="R8" s="40"/>
      <c r="S8" s="40"/>
      <c r="T8" s="40"/>
      <c r="U8" s="40"/>
      <c r="V8" s="40"/>
      <c r="W8" s="40"/>
    </row>
    <row r="9" spans="1:23" ht="29.15" customHeight="1" x14ac:dyDescent="0.3">
      <c r="A9" s="697"/>
      <c r="B9" s="687" t="s">
        <v>211</v>
      </c>
      <c r="C9" s="687"/>
      <c r="D9" s="687"/>
      <c r="E9" s="687"/>
      <c r="F9" s="582">
        <v>3684</v>
      </c>
      <c r="G9" s="62">
        <v>3781</v>
      </c>
      <c r="H9" s="62">
        <v>3806</v>
      </c>
      <c r="I9" s="62">
        <v>3927</v>
      </c>
      <c r="J9" s="62">
        <v>4077</v>
      </c>
      <c r="K9" s="62">
        <v>4322</v>
      </c>
      <c r="L9" s="62">
        <v>4581</v>
      </c>
      <c r="M9" s="66">
        <v>4871</v>
      </c>
      <c r="N9" s="40"/>
      <c r="O9" s="40"/>
      <c r="P9" s="40"/>
      <c r="Q9" s="40"/>
      <c r="R9" s="40"/>
      <c r="S9" s="40"/>
      <c r="T9" s="40"/>
      <c r="U9" s="40"/>
      <c r="V9" s="40"/>
      <c r="W9" s="40"/>
    </row>
    <row r="10" spans="1:23" ht="29.15" customHeight="1" x14ac:dyDescent="0.3">
      <c r="A10" s="697"/>
      <c r="B10" s="687" t="s">
        <v>212</v>
      </c>
      <c r="C10" s="687"/>
      <c r="D10" s="687"/>
      <c r="E10" s="687"/>
      <c r="F10" s="582">
        <v>38243</v>
      </c>
      <c r="G10" s="62">
        <v>37920</v>
      </c>
      <c r="H10" s="62">
        <v>37583</v>
      </c>
      <c r="I10" s="62">
        <v>36228</v>
      </c>
      <c r="J10" s="62">
        <v>35394</v>
      </c>
      <c r="K10" s="62">
        <v>34778</v>
      </c>
      <c r="L10" s="62">
        <v>34102</v>
      </c>
      <c r="M10" s="66">
        <v>33568</v>
      </c>
      <c r="N10" s="40"/>
      <c r="O10" s="40"/>
      <c r="P10" s="40"/>
      <c r="Q10" s="40"/>
      <c r="R10" s="40"/>
      <c r="S10" s="40"/>
      <c r="T10" s="40"/>
      <c r="U10" s="40"/>
      <c r="V10" s="40"/>
      <c r="W10" s="40"/>
    </row>
    <row r="11" spans="1:23" ht="29.15" customHeight="1" x14ac:dyDescent="0.3">
      <c r="A11" s="697"/>
      <c r="B11" s="687" t="s">
        <v>213</v>
      </c>
      <c r="C11" s="687"/>
      <c r="D11" s="687"/>
      <c r="E11" s="687"/>
      <c r="F11" s="582">
        <v>1446</v>
      </c>
      <c r="G11" s="62">
        <v>1400</v>
      </c>
      <c r="H11" s="62">
        <v>1397</v>
      </c>
      <c r="I11" s="62">
        <v>1328</v>
      </c>
      <c r="J11" s="62">
        <v>1279</v>
      </c>
      <c r="K11" s="62">
        <v>1240</v>
      </c>
      <c r="L11" s="62">
        <v>1229</v>
      </c>
      <c r="M11" s="66">
        <v>1183</v>
      </c>
      <c r="N11" s="40"/>
      <c r="O11" s="40"/>
      <c r="P11" s="40"/>
      <c r="Q11" s="40"/>
      <c r="R11" s="40"/>
      <c r="S11" s="40"/>
      <c r="T11" s="40"/>
      <c r="U11" s="40"/>
      <c r="V11" s="40"/>
      <c r="W11" s="40"/>
    </row>
    <row r="12" spans="1:23" ht="29.15" customHeight="1" x14ac:dyDescent="0.3">
      <c r="A12" s="697"/>
      <c r="B12" s="687" t="s">
        <v>214</v>
      </c>
      <c r="C12" s="687"/>
      <c r="D12" s="687"/>
      <c r="E12" s="687"/>
      <c r="F12" s="582">
        <v>708</v>
      </c>
      <c r="G12" s="62">
        <v>468</v>
      </c>
      <c r="H12" s="62">
        <v>384</v>
      </c>
      <c r="I12" s="62">
        <v>240</v>
      </c>
      <c r="J12" s="62">
        <v>173</v>
      </c>
      <c r="K12" s="62">
        <v>165</v>
      </c>
      <c r="L12" s="62">
        <v>138</v>
      </c>
      <c r="M12" s="66">
        <v>120</v>
      </c>
      <c r="N12" s="39"/>
      <c r="O12" s="39"/>
      <c r="P12" s="39"/>
      <c r="Q12" s="39"/>
      <c r="R12" s="39"/>
      <c r="S12" s="39"/>
      <c r="T12" s="39"/>
      <c r="U12" s="39"/>
      <c r="V12" s="39"/>
      <c r="W12" s="39"/>
    </row>
    <row r="13" spans="1:23" ht="29.15" customHeight="1" x14ac:dyDescent="0.3">
      <c r="A13" s="697"/>
      <c r="B13" s="687" t="s">
        <v>1132</v>
      </c>
      <c r="C13" s="687"/>
      <c r="D13" s="687"/>
      <c r="E13" s="691"/>
      <c r="F13" s="593">
        <v>8</v>
      </c>
      <c r="G13" s="212">
        <v>8</v>
      </c>
      <c r="H13" s="212">
        <v>7</v>
      </c>
      <c r="I13" s="212">
        <v>7</v>
      </c>
      <c r="J13" s="212">
        <v>5</v>
      </c>
      <c r="K13" s="212">
        <v>5</v>
      </c>
      <c r="L13" s="212">
        <v>4</v>
      </c>
      <c r="M13" s="213">
        <v>4</v>
      </c>
      <c r="N13" s="39"/>
      <c r="O13" s="39"/>
      <c r="P13" s="39"/>
      <c r="Q13" s="39"/>
      <c r="R13" s="39"/>
      <c r="S13" s="39"/>
      <c r="T13" s="39"/>
      <c r="U13" s="39"/>
      <c r="V13" s="39"/>
      <c r="W13" s="39"/>
    </row>
    <row r="14" spans="1:23" ht="29.15" customHeight="1" x14ac:dyDescent="0.3">
      <c r="A14" s="697"/>
      <c r="B14" s="687" t="s">
        <v>1133</v>
      </c>
      <c r="C14" s="687"/>
      <c r="D14" s="687"/>
      <c r="E14" s="691"/>
      <c r="F14" s="593">
        <v>225</v>
      </c>
      <c r="G14" s="212">
        <v>142</v>
      </c>
      <c r="H14" s="212">
        <v>88</v>
      </c>
      <c r="I14" s="212">
        <v>47</v>
      </c>
      <c r="J14" s="212">
        <v>6</v>
      </c>
      <c r="K14" s="212">
        <v>5</v>
      </c>
      <c r="L14" s="212">
        <v>3</v>
      </c>
      <c r="M14" s="213">
        <v>3</v>
      </c>
      <c r="N14" s="39"/>
      <c r="O14" s="39"/>
      <c r="P14" s="39"/>
      <c r="Q14" s="39"/>
      <c r="R14" s="39"/>
      <c r="S14" s="39"/>
      <c r="T14" s="39"/>
      <c r="U14" s="39"/>
      <c r="V14" s="39"/>
      <c r="W14" s="39"/>
    </row>
    <row r="15" spans="1:23" ht="29.15" customHeight="1" thickBot="1" x14ac:dyDescent="0.35">
      <c r="A15" s="697"/>
      <c r="B15" s="690" t="s">
        <v>215</v>
      </c>
      <c r="C15" s="690"/>
      <c r="D15" s="690"/>
      <c r="E15" s="690"/>
      <c r="F15" s="583">
        <v>172</v>
      </c>
      <c r="G15" s="71">
        <v>159</v>
      </c>
      <c r="H15" s="71">
        <v>130</v>
      </c>
      <c r="I15" s="71">
        <v>121</v>
      </c>
      <c r="J15" s="71">
        <v>98</v>
      </c>
      <c r="K15" s="71">
        <v>92</v>
      </c>
      <c r="L15" s="71">
        <v>85</v>
      </c>
      <c r="M15" s="72">
        <v>76</v>
      </c>
    </row>
    <row r="16" spans="1:23" ht="29.15" customHeight="1" thickTop="1" x14ac:dyDescent="0.3">
      <c r="A16" s="698"/>
      <c r="B16" s="699" t="s">
        <v>62</v>
      </c>
      <c r="C16" s="699"/>
      <c r="D16" s="699"/>
      <c r="E16" s="699"/>
      <c r="F16" s="80">
        <f>SUM(F8:F15)</f>
        <v>113154</v>
      </c>
      <c r="G16" s="80">
        <v>115769</v>
      </c>
      <c r="H16" s="80">
        <f t="shared" ref="H16:M16" si="0">SUM(H8:H15)</f>
        <v>119090</v>
      </c>
      <c r="I16" s="80">
        <f t="shared" si="0"/>
        <v>121033</v>
      </c>
      <c r="J16" s="80">
        <f t="shared" si="0"/>
        <v>123837</v>
      </c>
      <c r="K16" s="80">
        <f t="shared" si="0"/>
        <v>127546</v>
      </c>
      <c r="L16" s="80">
        <f t="shared" si="0"/>
        <v>131252</v>
      </c>
      <c r="M16" s="81">
        <f t="shared" si="0"/>
        <v>135510</v>
      </c>
    </row>
    <row r="17" spans="1:13" ht="29.15" customHeight="1" x14ac:dyDescent="0.3">
      <c r="A17" s="696" t="s">
        <v>204</v>
      </c>
      <c r="B17" s="704" t="s">
        <v>184</v>
      </c>
      <c r="C17" s="704"/>
      <c r="D17" s="704"/>
      <c r="E17" s="704"/>
      <c r="F17" s="585">
        <v>22132</v>
      </c>
      <c r="G17" s="63">
        <v>22235</v>
      </c>
      <c r="H17" s="63">
        <v>22352</v>
      </c>
      <c r="I17" s="63">
        <v>22024</v>
      </c>
      <c r="J17" s="63">
        <v>21948</v>
      </c>
      <c r="K17" s="63">
        <v>22404</v>
      </c>
      <c r="L17" s="63">
        <v>22627</v>
      </c>
      <c r="M17" s="77">
        <v>23105</v>
      </c>
    </row>
    <row r="18" spans="1:13" ht="29.15" customHeight="1" x14ac:dyDescent="0.3">
      <c r="A18" s="697"/>
      <c r="B18" s="688" t="s">
        <v>209</v>
      </c>
      <c r="C18" s="687" t="s">
        <v>192</v>
      </c>
      <c r="D18" s="687"/>
      <c r="E18" s="687"/>
      <c r="F18" s="582">
        <v>4</v>
      </c>
      <c r="G18" s="62">
        <v>4</v>
      </c>
      <c r="H18" s="62">
        <v>4</v>
      </c>
      <c r="I18" s="62">
        <v>5</v>
      </c>
      <c r="J18" s="62">
        <v>5</v>
      </c>
      <c r="K18" s="62">
        <v>5</v>
      </c>
      <c r="L18" s="62">
        <v>5</v>
      </c>
      <c r="M18" s="66">
        <v>4</v>
      </c>
    </row>
    <row r="19" spans="1:13" ht="29.15" customHeight="1" x14ac:dyDescent="0.3">
      <c r="A19" s="697"/>
      <c r="B19" s="688"/>
      <c r="C19" s="687" t="s">
        <v>193</v>
      </c>
      <c r="D19" s="687"/>
      <c r="E19" s="687"/>
      <c r="F19" s="582" t="s">
        <v>50</v>
      </c>
      <c r="G19" s="62" t="s">
        <v>50</v>
      </c>
      <c r="H19" s="62" t="s">
        <v>50</v>
      </c>
      <c r="I19" s="62" t="s">
        <v>50</v>
      </c>
      <c r="J19" s="62" t="s">
        <v>50</v>
      </c>
      <c r="K19" s="62" t="s">
        <v>50</v>
      </c>
      <c r="L19" s="62" t="s">
        <v>50</v>
      </c>
      <c r="M19" s="66" t="s">
        <v>50</v>
      </c>
    </row>
    <row r="20" spans="1:13" ht="29.15" customHeight="1" x14ac:dyDescent="0.3">
      <c r="A20" s="697"/>
      <c r="B20" s="688"/>
      <c r="C20" s="687" t="s">
        <v>194</v>
      </c>
      <c r="D20" s="687"/>
      <c r="E20" s="687"/>
      <c r="F20" s="582">
        <v>3</v>
      </c>
      <c r="G20" s="62">
        <v>3</v>
      </c>
      <c r="H20" s="62">
        <v>3</v>
      </c>
      <c r="I20" s="62">
        <v>5</v>
      </c>
      <c r="J20" s="62">
        <v>5</v>
      </c>
      <c r="K20" s="62">
        <v>5</v>
      </c>
      <c r="L20" s="62">
        <v>4</v>
      </c>
      <c r="M20" s="66">
        <v>5</v>
      </c>
    </row>
    <row r="21" spans="1:13" ht="29.15" customHeight="1" x14ac:dyDescent="0.3">
      <c r="A21" s="697"/>
      <c r="B21" s="688"/>
      <c r="C21" s="687" t="s">
        <v>195</v>
      </c>
      <c r="D21" s="687"/>
      <c r="E21" s="687"/>
      <c r="F21" s="582" t="s">
        <v>50</v>
      </c>
      <c r="G21" s="62" t="s">
        <v>50</v>
      </c>
      <c r="H21" s="62" t="s">
        <v>50</v>
      </c>
      <c r="I21" s="62" t="s">
        <v>50</v>
      </c>
      <c r="J21" s="62" t="s">
        <v>50</v>
      </c>
      <c r="K21" s="62" t="s">
        <v>50</v>
      </c>
      <c r="L21" s="62" t="s">
        <v>50</v>
      </c>
      <c r="M21" s="66" t="s">
        <v>50</v>
      </c>
    </row>
    <row r="22" spans="1:13" ht="29.15" customHeight="1" x14ac:dyDescent="0.3">
      <c r="A22" s="697"/>
      <c r="B22" s="688"/>
      <c r="C22" s="687" t="s">
        <v>196</v>
      </c>
      <c r="D22" s="687"/>
      <c r="E22" s="687"/>
      <c r="F22" s="582" t="s">
        <v>50</v>
      </c>
      <c r="G22" s="62" t="s">
        <v>50</v>
      </c>
      <c r="H22" s="62" t="s">
        <v>50</v>
      </c>
      <c r="I22" s="62" t="s">
        <v>50</v>
      </c>
      <c r="J22" s="62" t="s">
        <v>50</v>
      </c>
      <c r="K22" s="62" t="s">
        <v>50</v>
      </c>
      <c r="L22" s="62" t="s">
        <v>50</v>
      </c>
      <c r="M22" s="66" t="s">
        <v>50</v>
      </c>
    </row>
    <row r="23" spans="1:13" ht="29.15" customHeight="1" x14ac:dyDescent="0.3">
      <c r="A23" s="697"/>
      <c r="B23" s="688"/>
      <c r="C23" s="687" t="s">
        <v>197</v>
      </c>
      <c r="D23" s="687"/>
      <c r="E23" s="687"/>
      <c r="F23" s="582" t="s">
        <v>50</v>
      </c>
      <c r="G23" s="62" t="s">
        <v>50</v>
      </c>
      <c r="H23" s="62" t="s">
        <v>50</v>
      </c>
      <c r="I23" s="62" t="s">
        <v>50</v>
      </c>
      <c r="J23" s="62" t="s">
        <v>50</v>
      </c>
      <c r="K23" s="62" t="s">
        <v>50</v>
      </c>
      <c r="L23" s="62" t="s">
        <v>50</v>
      </c>
      <c r="M23" s="66" t="s">
        <v>50</v>
      </c>
    </row>
    <row r="24" spans="1:13" ht="29.15" customHeight="1" x14ac:dyDescent="0.3">
      <c r="A24" s="697"/>
      <c r="B24" s="688"/>
      <c r="C24" s="687" t="s">
        <v>198</v>
      </c>
      <c r="D24" s="687"/>
      <c r="E24" s="687"/>
      <c r="F24" s="582" t="s">
        <v>50</v>
      </c>
      <c r="G24" s="62" t="s">
        <v>50</v>
      </c>
      <c r="H24" s="62" t="s">
        <v>50</v>
      </c>
      <c r="I24" s="62">
        <v>1</v>
      </c>
      <c r="J24" s="62">
        <v>1</v>
      </c>
      <c r="K24" s="62" t="s">
        <v>50</v>
      </c>
      <c r="L24" s="62">
        <v>1</v>
      </c>
      <c r="M24" s="66">
        <v>1</v>
      </c>
    </row>
    <row r="25" spans="1:13" ht="29.15" customHeight="1" x14ac:dyDescent="0.3">
      <c r="A25" s="697"/>
      <c r="B25" s="688"/>
      <c r="C25" s="687" t="s">
        <v>199</v>
      </c>
      <c r="D25" s="687"/>
      <c r="E25" s="687"/>
      <c r="F25" s="582" t="s">
        <v>50</v>
      </c>
      <c r="G25" s="62" t="s">
        <v>50</v>
      </c>
      <c r="H25" s="62" t="s">
        <v>50</v>
      </c>
      <c r="I25" s="62" t="s">
        <v>50</v>
      </c>
      <c r="J25" s="62" t="s">
        <v>50</v>
      </c>
      <c r="K25" s="62" t="s">
        <v>50</v>
      </c>
      <c r="L25" s="62" t="s">
        <v>50</v>
      </c>
      <c r="M25" s="66" t="s">
        <v>50</v>
      </c>
    </row>
    <row r="26" spans="1:13" ht="29.15" customHeight="1" x14ac:dyDescent="0.3">
      <c r="A26" s="697"/>
      <c r="B26" s="688"/>
      <c r="C26" s="687" t="s">
        <v>200</v>
      </c>
      <c r="D26" s="687"/>
      <c r="E26" s="687"/>
      <c r="F26" s="582" t="s">
        <v>50</v>
      </c>
      <c r="G26" s="62" t="s">
        <v>50</v>
      </c>
      <c r="H26" s="62" t="s">
        <v>50</v>
      </c>
      <c r="I26" s="62" t="s">
        <v>50</v>
      </c>
      <c r="J26" s="62" t="s">
        <v>50</v>
      </c>
      <c r="K26" s="62">
        <v>1</v>
      </c>
      <c r="L26" s="62" t="s">
        <v>50</v>
      </c>
      <c r="M26" s="66" t="s">
        <v>50</v>
      </c>
    </row>
    <row r="27" spans="1:13" ht="29.15" customHeight="1" x14ac:dyDescent="0.3">
      <c r="A27" s="697"/>
      <c r="B27" s="688"/>
      <c r="C27" s="687" t="s">
        <v>201</v>
      </c>
      <c r="D27" s="687"/>
      <c r="E27" s="687"/>
      <c r="F27" s="582" t="s">
        <v>50</v>
      </c>
      <c r="G27" s="62" t="s">
        <v>50</v>
      </c>
      <c r="H27" s="62" t="s">
        <v>50</v>
      </c>
      <c r="I27" s="62" t="s">
        <v>50</v>
      </c>
      <c r="J27" s="62" t="s">
        <v>50</v>
      </c>
      <c r="K27" s="62" t="s">
        <v>50</v>
      </c>
      <c r="L27" s="62" t="s">
        <v>50</v>
      </c>
      <c r="M27" s="66" t="s">
        <v>50</v>
      </c>
    </row>
    <row r="28" spans="1:13" ht="29.15" customHeight="1" x14ac:dyDescent="0.3">
      <c r="A28" s="697"/>
      <c r="B28" s="688"/>
      <c r="C28" s="687" t="s">
        <v>202</v>
      </c>
      <c r="D28" s="687"/>
      <c r="E28" s="687"/>
      <c r="F28" s="582" t="s">
        <v>50</v>
      </c>
      <c r="G28" s="62" t="s">
        <v>50</v>
      </c>
      <c r="H28" s="62" t="s">
        <v>50</v>
      </c>
      <c r="I28" s="62" t="s">
        <v>50</v>
      </c>
      <c r="J28" s="62" t="s">
        <v>50</v>
      </c>
      <c r="K28" s="62" t="s">
        <v>50</v>
      </c>
      <c r="L28" s="62" t="s">
        <v>50</v>
      </c>
      <c r="M28" s="66" t="s">
        <v>50</v>
      </c>
    </row>
    <row r="29" spans="1:13" ht="29.15" customHeight="1" x14ac:dyDescent="0.3">
      <c r="A29" s="697"/>
      <c r="B29" s="688"/>
      <c r="C29" s="687" t="s">
        <v>203</v>
      </c>
      <c r="D29" s="687"/>
      <c r="E29" s="687"/>
      <c r="F29" s="582" t="s">
        <v>50</v>
      </c>
      <c r="G29" s="62" t="s">
        <v>50</v>
      </c>
      <c r="H29" s="62" t="s">
        <v>50</v>
      </c>
      <c r="I29" s="62" t="s">
        <v>50</v>
      </c>
      <c r="J29" s="62" t="s">
        <v>50</v>
      </c>
      <c r="K29" s="62" t="s">
        <v>50</v>
      </c>
      <c r="L29" s="62" t="s">
        <v>50</v>
      </c>
      <c r="M29" s="66" t="s">
        <v>50</v>
      </c>
    </row>
    <row r="30" spans="1:13" ht="29.15" customHeight="1" x14ac:dyDescent="0.3">
      <c r="A30" s="697"/>
      <c r="B30" s="683" t="s">
        <v>207</v>
      </c>
      <c r="C30" s="683" t="s">
        <v>185</v>
      </c>
      <c r="D30" s="688" t="s">
        <v>186</v>
      </c>
      <c r="E30" s="60" t="s">
        <v>192</v>
      </c>
      <c r="F30" s="582">
        <v>37</v>
      </c>
      <c r="G30" s="62">
        <v>30</v>
      </c>
      <c r="H30" s="62">
        <v>24</v>
      </c>
      <c r="I30" s="62">
        <v>24</v>
      </c>
      <c r="J30" s="62">
        <v>33</v>
      </c>
      <c r="K30" s="62">
        <v>26</v>
      </c>
      <c r="L30" s="62">
        <v>41</v>
      </c>
      <c r="M30" s="66">
        <v>45</v>
      </c>
    </row>
    <row r="31" spans="1:13" ht="29.15" customHeight="1" x14ac:dyDescent="0.3">
      <c r="A31" s="697"/>
      <c r="B31" s="684"/>
      <c r="C31" s="684"/>
      <c r="D31" s="688"/>
      <c r="E31" s="60" t="s">
        <v>193</v>
      </c>
      <c r="F31" s="582">
        <v>29</v>
      </c>
      <c r="G31" s="62">
        <v>21</v>
      </c>
      <c r="H31" s="62">
        <v>17</v>
      </c>
      <c r="I31" s="62">
        <v>15</v>
      </c>
      <c r="J31" s="62">
        <v>13</v>
      </c>
      <c r="K31" s="62">
        <v>11</v>
      </c>
      <c r="L31" s="62">
        <v>7</v>
      </c>
      <c r="M31" s="66">
        <v>5</v>
      </c>
    </row>
    <row r="32" spans="1:13" ht="29.15" customHeight="1" x14ac:dyDescent="0.3">
      <c r="A32" s="697"/>
      <c r="B32" s="684"/>
      <c r="C32" s="684"/>
      <c r="D32" s="688"/>
      <c r="E32" s="60" t="s">
        <v>194</v>
      </c>
      <c r="F32" s="582">
        <v>47</v>
      </c>
      <c r="G32" s="62">
        <v>26</v>
      </c>
      <c r="H32" s="62">
        <v>7</v>
      </c>
      <c r="I32" s="62">
        <v>6</v>
      </c>
      <c r="J32" s="62">
        <v>6</v>
      </c>
      <c r="K32" s="62">
        <v>15</v>
      </c>
      <c r="L32" s="62">
        <v>2</v>
      </c>
      <c r="M32" s="66">
        <v>2</v>
      </c>
    </row>
    <row r="33" spans="1:13" ht="29.15" customHeight="1" x14ac:dyDescent="0.3">
      <c r="A33" s="697"/>
      <c r="B33" s="684"/>
      <c r="C33" s="684"/>
      <c r="D33" s="688"/>
      <c r="E33" s="60" t="s">
        <v>195</v>
      </c>
      <c r="F33" s="582" t="s">
        <v>50</v>
      </c>
      <c r="G33" s="62">
        <v>2</v>
      </c>
      <c r="H33" s="62" t="s">
        <v>50</v>
      </c>
      <c r="I33" s="62" t="s">
        <v>50</v>
      </c>
      <c r="J33" s="62" t="s">
        <v>50</v>
      </c>
      <c r="K33" s="62" t="s">
        <v>50</v>
      </c>
      <c r="L33" s="62" t="s">
        <v>50</v>
      </c>
      <c r="M33" s="66" t="s">
        <v>50</v>
      </c>
    </row>
    <row r="34" spans="1:13" ht="29.15" customHeight="1" x14ac:dyDescent="0.3">
      <c r="A34" s="697"/>
      <c r="B34" s="684"/>
      <c r="C34" s="684"/>
      <c r="D34" s="688"/>
      <c r="E34" s="60" t="s">
        <v>196</v>
      </c>
      <c r="F34" s="582" t="s">
        <v>50</v>
      </c>
      <c r="G34" s="62" t="s">
        <v>50</v>
      </c>
      <c r="H34" s="62" t="s">
        <v>50</v>
      </c>
      <c r="I34" s="62" t="s">
        <v>50</v>
      </c>
      <c r="J34" s="62" t="s">
        <v>50</v>
      </c>
      <c r="K34" s="62" t="s">
        <v>50</v>
      </c>
      <c r="L34" s="62" t="s">
        <v>50</v>
      </c>
      <c r="M34" s="66">
        <v>1</v>
      </c>
    </row>
    <row r="35" spans="1:13" ht="29.15" customHeight="1" x14ac:dyDescent="0.3">
      <c r="A35" s="697"/>
      <c r="B35" s="684"/>
      <c r="C35" s="684"/>
      <c r="D35" s="688"/>
      <c r="E35" s="60" t="s">
        <v>197</v>
      </c>
      <c r="F35" s="582">
        <v>3</v>
      </c>
      <c r="G35" s="62" t="s">
        <v>50</v>
      </c>
      <c r="H35" s="62" t="s">
        <v>50</v>
      </c>
      <c r="I35" s="62" t="s">
        <v>50</v>
      </c>
      <c r="J35" s="62">
        <v>1</v>
      </c>
      <c r="K35" s="62" t="s">
        <v>50</v>
      </c>
      <c r="L35" s="62">
        <v>1</v>
      </c>
      <c r="M35" s="66">
        <v>1</v>
      </c>
    </row>
    <row r="36" spans="1:13" ht="29.15" customHeight="1" x14ac:dyDescent="0.3">
      <c r="A36" s="697"/>
      <c r="B36" s="684"/>
      <c r="C36" s="684"/>
      <c r="D36" s="688"/>
      <c r="E36" s="60" t="s">
        <v>198</v>
      </c>
      <c r="F36" s="582" t="s">
        <v>50</v>
      </c>
      <c r="G36" s="62" t="s">
        <v>50</v>
      </c>
      <c r="H36" s="62" t="s">
        <v>50</v>
      </c>
      <c r="I36" s="62" t="s">
        <v>50</v>
      </c>
      <c r="J36" s="62" t="s">
        <v>50</v>
      </c>
      <c r="K36" s="62" t="s">
        <v>50</v>
      </c>
      <c r="L36" s="62" t="s">
        <v>50</v>
      </c>
      <c r="M36" s="66" t="s">
        <v>50</v>
      </c>
    </row>
    <row r="37" spans="1:13" ht="29.15" customHeight="1" x14ac:dyDescent="0.3">
      <c r="A37" s="697"/>
      <c r="B37" s="684"/>
      <c r="C37" s="684"/>
      <c r="D37" s="688"/>
      <c r="E37" s="60" t="s">
        <v>199</v>
      </c>
      <c r="F37" s="582" t="s">
        <v>50</v>
      </c>
      <c r="G37" s="62" t="s">
        <v>50</v>
      </c>
      <c r="H37" s="62" t="s">
        <v>50</v>
      </c>
      <c r="I37" s="62" t="s">
        <v>50</v>
      </c>
      <c r="J37" s="62" t="s">
        <v>50</v>
      </c>
      <c r="K37" s="62" t="s">
        <v>50</v>
      </c>
      <c r="L37" s="62" t="s">
        <v>50</v>
      </c>
      <c r="M37" s="66" t="s">
        <v>50</v>
      </c>
    </row>
    <row r="38" spans="1:13" ht="29.15" customHeight="1" x14ac:dyDescent="0.3">
      <c r="A38" s="697"/>
      <c r="B38" s="684"/>
      <c r="C38" s="684"/>
      <c r="D38" s="688"/>
      <c r="E38" s="60" t="s">
        <v>200</v>
      </c>
      <c r="F38" s="582" t="s">
        <v>50</v>
      </c>
      <c r="G38" s="62" t="s">
        <v>50</v>
      </c>
      <c r="H38" s="62" t="s">
        <v>50</v>
      </c>
      <c r="I38" s="62" t="s">
        <v>50</v>
      </c>
      <c r="J38" s="62" t="s">
        <v>50</v>
      </c>
      <c r="K38" s="62" t="s">
        <v>50</v>
      </c>
      <c r="L38" s="62" t="s">
        <v>50</v>
      </c>
      <c r="M38" s="66" t="s">
        <v>50</v>
      </c>
    </row>
    <row r="39" spans="1:13" ht="29.15" customHeight="1" x14ac:dyDescent="0.3">
      <c r="A39" s="697"/>
      <c r="B39" s="684"/>
      <c r="C39" s="684"/>
      <c r="D39" s="688"/>
      <c r="E39" s="60" t="s">
        <v>201</v>
      </c>
      <c r="F39" s="582">
        <v>2</v>
      </c>
      <c r="G39" s="62" t="s">
        <v>50</v>
      </c>
      <c r="H39" s="62" t="s">
        <v>50</v>
      </c>
      <c r="I39" s="62" t="s">
        <v>50</v>
      </c>
      <c r="J39" s="62" t="s">
        <v>50</v>
      </c>
      <c r="K39" s="62" t="s">
        <v>50</v>
      </c>
      <c r="L39" s="62" t="s">
        <v>50</v>
      </c>
      <c r="M39" s="66" t="s">
        <v>50</v>
      </c>
    </row>
    <row r="40" spans="1:13" ht="29.15" customHeight="1" x14ac:dyDescent="0.3">
      <c r="A40" s="697"/>
      <c r="B40" s="684"/>
      <c r="C40" s="684"/>
      <c r="D40" s="688"/>
      <c r="E40" s="60" t="s">
        <v>202</v>
      </c>
      <c r="F40" s="582" t="s">
        <v>50</v>
      </c>
      <c r="G40" s="62" t="s">
        <v>50</v>
      </c>
      <c r="H40" s="62" t="s">
        <v>50</v>
      </c>
      <c r="I40" s="62" t="s">
        <v>50</v>
      </c>
      <c r="J40" s="62" t="s">
        <v>50</v>
      </c>
      <c r="K40" s="62" t="s">
        <v>50</v>
      </c>
      <c r="L40" s="62" t="s">
        <v>50</v>
      </c>
      <c r="M40" s="66" t="s">
        <v>50</v>
      </c>
    </row>
    <row r="41" spans="1:13" ht="29.15" customHeight="1" x14ac:dyDescent="0.3">
      <c r="A41" s="697"/>
      <c r="B41" s="685"/>
      <c r="C41" s="685"/>
      <c r="D41" s="688"/>
      <c r="E41" s="60" t="s">
        <v>203</v>
      </c>
      <c r="F41" s="582" t="s">
        <v>50</v>
      </c>
      <c r="G41" s="62" t="s">
        <v>50</v>
      </c>
      <c r="H41" s="62" t="s">
        <v>50</v>
      </c>
      <c r="I41" s="62" t="s">
        <v>50</v>
      </c>
      <c r="J41" s="62" t="s">
        <v>50</v>
      </c>
      <c r="K41" s="62" t="s">
        <v>50</v>
      </c>
      <c r="L41" s="62" t="s">
        <v>50</v>
      </c>
      <c r="M41" s="66" t="s">
        <v>50</v>
      </c>
    </row>
    <row r="42" spans="1:13" ht="29.15" customHeight="1" x14ac:dyDescent="0.3">
      <c r="A42" s="697"/>
      <c r="B42" s="683" t="s">
        <v>223</v>
      </c>
      <c r="C42" s="683" t="s">
        <v>221</v>
      </c>
      <c r="D42" s="688" t="s">
        <v>187</v>
      </c>
      <c r="E42" s="60" t="s">
        <v>192</v>
      </c>
      <c r="F42" s="582">
        <v>27584</v>
      </c>
      <c r="G42" s="62">
        <v>32946</v>
      </c>
      <c r="H42" s="62">
        <v>38930</v>
      </c>
      <c r="I42" s="62">
        <v>45714</v>
      </c>
      <c r="J42" s="62">
        <v>52679</v>
      </c>
      <c r="K42" s="62">
        <v>60627</v>
      </c>
      <c r="L42" s="62">
        <v>68388</v>
      </c>
      <c r="M42" s="66">
        <v>76525</v>
      </c>
    </row>
    <row r="43" spans="1:13" ht="29.15" customHeight="1" x14ac:dyDescent="0.3">
      <c r="A43" s="697"/>
      <c r="B43" s="684"/>
      <c r="C43" s="684"/>
      <c r="D43" s="688"/>
      <c r="E43" s="60" t="s">
        <v>193</v>
      </c>
      <c r="F43" s="582">
        <v>67958</v>
      </c>
      <c r="G43" s="62">
        <v>61862</v>
      </c>
      <c r="H43" s="62">
        <v>55562</v>
      </c>
      <c r="I43" s="62">
        <v>43689</v>
      </c>
      <c r="J43" s="62">
        <v>35500</v>
      </c>
      <c r="K43" s="62">
        <v>27701</v>
      </c>
      <c r="L43" s="62">
        <v>19650</v>
      </c>
      <c r="M43" s="66">
        <v>9985</v>
      </c>
    </row>
    <row r="44" spans="1:13" ht="29.15" customHeight="1" x14ac:dyDescent="0.3">
      <c r="A44" s="697"/>
      <c r="B44" s="684"/>
      <c r="C44" s="684"/>
      <c r="D44" s="688"/>
      <c r="E44" s="60" t="s">
        <v>194</v>
      </c>
      <c r="F44" s="582">
        <v>27053</v>
      </c>
      <c r="G44" s="62">
        <v>26837</v>
      </c>
      <c r="H44" s="62">
        <v>25743</v>
      </c>
      <c r="I44" s="62">
        <v>24263</v>
      </c>
      <c r="J44" s="62">
        <v>22948</v>
      </c>
      <c r="K44" s="62">
        <v>21547</v>
      </c>
      <c r="L44" s="62">
        <v>20221</v>
      </c>
      <c r="M44" s="66">
        <v>18793</v>
      </c>
    </row>
    <row r="45" spans="1:13" ht="29.15" customHeight="1" x14ac:dyDescent="0.3">
      <c r="A45" s="697"/>
      <c r="B45" s="684"/>
      <c r="C45" s="684"/>
      <c r="D45" s="688"/>
      <c r="E45" s="60" t="s">
        <v>195</v>
      </c>
      <c r="F45" s="582" t="s">
        <v>50</v>
      </c>
      <c r="G45" s="62" t="s">
        <v>50</v>
      </c>
      <c r="H45" s="62" t="s">
        <v>50</v>
      </c>
      <c r="I45" s="62" t="s">
        <v>50</v>
      </c>
      <c r="J45" s="62" t="s">
        <v>50</v>
      </c>
      <c r="K45" s="62" t="s">
        <v>50</v>
      </c>
      <c r="L45" s="62" t="s">
        <v>50</v>
      </c>
      <c r="M45" s="66" t="s">
        <v>50</v>
      </c>
    </row>
    <row r="46" spans="1:13" ht="29.15" customHeight="1" x14ac:dyDescent="0.3">
      <c r="A46" s="697"/>
      <c r="B46" s="684"/>
      <c r="C46" s="684"/>
      <c r="D46" s="688"/>
      <c r="E46" s="60" t="s">
        <v>196</v>
      </c>
      <c r="F46" s="582" t="s">
        <v>50</v>
      </c>
      <c r="G46" s="62" t="s">
        <v>50</v>
      </c>
      <c r="H46" s="62" t="s">
        <v>50</v>
      </c>
      <c r="I46" s="62">
        <v>958</v>
      </c>
      <c r="J46" s="62">
        <v>1650</v>
      </c>
      <c r="K46" s="62">
        <v>1993</v>
      </c>
      <c r="L46" s="62">
        <v>2553</v>
      </c>
      <c r="M46" s="66">
        <v>3695</v>
      </c>
    </row>
    <row r="47" spans="1:13" ht="29.15" customHeight="1" x14ac:dyDescent="0.3">
      <c r="A47" s="697"/>
      <c r="B47" s="684"/>
      <c r="C47" s="684"/>
      <c r="D47" s="688"/>
      <c r="E47" s="60" t="s">
        <v>197</v>
      </c>
      <c r="F47" s="582" t="s">
        <v>50</v>
      </c>
      <c r="G47" s="62" t="s">
        <v>50</v>
      </c>
      <c r="H47" s="62" t="s">
        <v>50</v>
      </c>
      <c r="I47" s="62">
        <v>3921</v>
      </c>
      <c r="J47" s="62">
        <v>4036</v>
      </c>
      <c r="K47" s="62">
        <v>3528</v>
      </c>
      <c r="L47" s="62">
        <v>3013</v>
      </c>
      <c r="M47" s="66">
        <v>3036</v>
      </c>
    </row>
    <row r="48" spans="1:13" ht="29.15" customHeight="1" x14ac:dyDescent="0.3">
      <c r="A48" s="697"/>
      <c r="B48" s="684"/>
      <c r="C48" s="684"/>
      <c r="D48" s="688"/>
      <c r="E48" s="60" t="s">
        <v>198</v>
      </c>
      <c r="F48" s="582">
        <v>81</v>
      </c>
      <c r="G48" s="62">
        <v>80</v>
      </c>
      <c r="H48" s="62">
        <v>82</v>
      </c>
      <c r="I48" s="62">
        <v>87</v>
      </c>
      <c r="J48" s="62">
        <v>89</v>
      </c>
      <c r="K48" s="62">
        <v>90</v>
      </c>
      <c r="L48" s="62">
        <v>96</v>
      </c>
      <c r="M48" s="66">
        <v>113</v>
      </c>
    </row>
    <row r="49" spans="1:13" ht="29.15" customHeight="1" x14ac:dyDescent="0.3">
      <c r="A49" s="697"/>
      <c r="B49" s="684"/>
      <c r="C49" s="684"/>
      <c r="D49" s="688"/>
      <c r="E49" s="60" t="s">
        <v>199</v>
      </c>
      <c r="F49" s="582">
        <v>372</v>
      </c>
      <c r="G49" s="62">
        <v>23</v>
      </c>
      <c r="H49" s="62">
        <v>10</v>
      </c>
      <c r="I49" s="62">
        <v>7</v>
      </c>
      <c r="J49" s="62">
        <v>6</v>
      </c>
      <c r="K49" s="62">
        <v>6</v>
      </c>
      <c r="L49" s="62">
        <v>3</v>
      </c>
      <c r="M49" s="66">
        <v>2</v>
      </c>
    </row>
    <row r="50" spans="1:13" ht="29.15" customHeight="1" x14ac:dyDescent="0.3">
      <c r="A50" s="697"/>
      <c r="B50" s="684"/>
      <c r="C50" s="684"/>
      <c r="D50" s="688"/>
      <c r="E50" s="60" t="s">
        <v>200</v>
      </c>
      <c r="F50" s="582" t="s">
        <v>50</v>
      </c>
      <c r="G50" s="62" t="s">
        <v>50</v>
      </c>
      <c r="H50" s="62" t="s">
        <v>50</v>
      </c>
      <c r="I50" s="62" t="s">
        <v>50</v>
      </c>
      <c r="J50" s="62" t="s">
        <v>50</v>
      </c>
      <c r="K50" s="62">
        <v>1</v>
      </c>
      <c r="L50" s="62" t="s">
        <v>50</v>
      </c>
      <c r="M50" s="66" t="s">
        <v>50</v>
      </c>
    </row>
    <row r="51" spans="1:13" ht="29.15" customHeight="1" x14ac:dyDescent="0.3">
      <c r="A51" s="697"/>
      <c r="B51" s="684"/>
      <c r="C51" s="684"/>
      <c r="D51" s="688"/>
      <c r="E51" s="60" t="s">
        <v>201</v>
      </c>
      <c r="F51" s="582">
        <v>290</v>
      </c>
      <c r="G51" s="62">
        <v>362</v>
      </c>
      <c r="H51" s="62">
        <v>13</v>
      </c>
      <c r="I51" s="62">
        <v>1</v>
      </c>
      <c r="J51" s="62">
        <v>1</v>
      </c>
      <c r="K51" s="62" t="s">
        <v>50</v>
      </c>
      <c r="L51" s="62">
        <v>4</v>
      </c>
      <c r="M51" s="66" t="s">
        <v>50</v>
      </c>
    </row>
    <row r="52" spans="1:13" ht="29.15" customHeight="1" x14ac:dyDescent="0.3">
      <c r="A52" s="697"/>
      <c r="B52" s="684"/>
      <c r="C52" s="684"/>
      <c r="D52" s="688"/>
      <c r="E52" s="60" t="s">
        <v>202</v>
      </c>
      <c r="F52" s="582" t="s">
        <v>50</v>
      </c>
      <c r="G52" s="62" t="s">
        <v>50</v>
      </c>
      <c r="H52" s="62" t="s">
        <v>50</v>
      </c>
      <c r="I52" s="62" t="s">
        <v>50</v>
      </c>
      <c r="J52" s="62" t="s">
        <v>50</v>
      </c>
      <c r="K52" s="62" t="s">
        <v>50</v>
      </c>
      <c r="L52" s="62" t="s">
        <v>50</v>
      </c>
      <c r="M52" s="66" t="s">
        <v>50</v>
      </c>
    </row>
    <row r="53" spans="1:13" ht="29.15" customHeight="1" x14ac:dyDescent="0.3">
      <c r="A53" s="697"/>
      <c r="B53" s="685"/>
      <c r="C53" s="685"/>
      <c r="D53" s="688"/>
      <c r="E53" s="60" t="s">
        <v>203</v>
      </c>
      <c r="F53" s="582" t="s">
        <v>50</v>
      </c>
      <c r="G53" s="62" t="s">
        <v>50</v>
      </c>
      <c r="H53" s="62" t="s">
        <v>50</v>
      </c>
      <c r="I53" s="62" t="s">
        <v>50</v>
      </c>
      <c r="J53" s="62" t="s">
        <v>50</v>
      </c>
      <c r="K53" s="62" t="s">
        <v>50</v>
      </c>
      <c r="L53" s="62" t="s">
        <v>50</v>
      </c>
      <c r="M53" s="66" t="s">
        <v>50</v>
      </c>
    </row>
    <row r="54" spans="1:13" ht="29.15" customHeight="1" x14ac:dyDescent="0.3">
      <c r="A54" s="697"/>
      <c r="B54" s="683" t="s">
        <v>223</v>
      </c>
      <c r="C54" s="683" t="s">
        <v>188</v>
      </c>
      <c r="D54" s="688" t="s">
        <v>186</v>
      </c>
      <c r="E54" s="60" t="s">
        <v>192</v>
      </c>
      <c r="F54" s="582">
        <v>761</v>
      </c>
      <c r="G54" s="62">
        <v>934</v>
      </c>
      <c r="H54" s="62">
        <v>1080</v>
      </c>
      <c r="I54" s="62">
        <v>1275</v>
      </c>
      <c r="J54" s="62">
        <v>1295</v>
      </c>
      <c r="K54" s="62">
        <v>1389</v>
      </c>
      <c r="L54" s="62">
        <v>1591</v>
      </c>
      <c r="M54" s="66">
        <v>1765</v>
      </c>
    </row>
    <row r="55" spans="1:13" ht="29.15" customHeight="1" x14ac:dyDescent="0.3">
      <c r="A55" s="697"/>
      <c r="B55" s="684"/>
      <c r="C55" s="684"/>
      <c r="D55" s="688"/>
      <c r="E55" s="60" t="s">
        <v>193</v>
      </c>
      <c r="F55" s="582">
        <v>2350</v>
      </c>
      <c r="G55" s="62">
        <v>2178</v>
      </c>
      <c r="H55" s="62">
        <v>1911</v>
      </c>
      <c r="I55" s="62">
        <v>1589</v>
      </c>
      <c r="J55" s="62">
        <v>1292</v>
      </c>
      <c r="K55" s="62">
        <v>958</v>
      </c>
      <c r="L55" s="62">
        <v>640</v>
      </c>
      <c r="M55" s="66">
        <v>353</v>
      </c>
    </row>
    <row r="56" spans="1:13" ht="29.15" customHeight="1" x14ac:dyDescent="0.3">
      <c r="A56" s="697"/>
      <c r="B56" s="684"/>
      <c r="C56" s="684"/>
      <c r="D56" s="688"/>
      <c r="E56" s="60" t="s">
        <v>194</v>
      </c>
      <c r="F56" s="582">
        <v>744</v>
      </c>
      <c r="G56" s="62">
        <v>740</v>
      </c>
      <c r="H56" s="62">
        <v>731</v>
      </c>
      <c r="I56" s="62">
        <v>669</v>
      </c>
      <c r="J56" s="62">
        <v>562</v>
      </c>
      <c r="K56" s="62">
        <v>531</v>
      </c>
      <c r="L56" s="62">
        <v>411</v>
      </c>
      <c r="M56" s="66">
        <v>332</v>
      </c>
    </row>
    <row r="57" spans="1:13" ht="29.15" customHeight="1" x14ac:dyDescent="0.3">
      <c r="A57" s="697"/>
      <c r="B57" s="684"/>
      <c r="C57" s="684"/>
      <c r="D57" s="688"/>
      <c r="E57" s="60" t="s">
        <v>195</v>
      </c>
      <c r="F57" s="582" t="s">
        <v>50</v>
      </c>
      <c r="G57" s="62" t="s">
        <v>50</v>
      </c>
      <c r="H57" s="62" t="s">
        <v>50</v>
      </c>
      <c r="I57" s="62" t="s">
        <v>50</v>
      </c>
      <c r="J57" s="62" t="s">
        <v>50</v>
      </c>
      <c r="K57" s="62" t="s">
        <v>50</v>
      </c>
      <c r="L57" s="62" t="s">
        <v>50</v>
      </c>
      <c r="M57" s="66" t="s">
        <v>50</v>
      </c>
    </row>
    <row r="58" spans="1:13" ht="29.15" customHeight="1" x14ac:dyDescent="0.3">
      <c r="A58" s="697"/>
      <c r="B58" s="684"/>
      <c r="C58" s="684"/>
      <c r="D58" s="688"/>
      <c r="E58" s="60" t="s">
        <v>196</v>
      </c>
      <c r="F58" s="582" t="s">
        <v>50</v>
      </c>
      <c r="G58" s="62" t="s">
        <v>50</v>
      </c>
      <c r="H58" s="62" t="s">
        <v>50</v>
      </c>
      <c r="I58" s="62" t="s">
        <v>50</v>
      </c>
      <c r="J58" s="62" t="s">
        <v>50</v>
      </c>
      <c r="K58" s="62" t="s">
        <v>50</v>
      </c>
      <c r="L58" s="62" t="s">
        <v>50</v>
      </c>
      <c r="M58" s="66" t="s">
        <v>50</v>
      </c>
    </row>
    <row r="59" spans="1:13" ht="29.15" customHeight="1" x14ac:dyDescent="0.3">
      <c r="A59" s="697"/>
      <c r="B59" s="684"/>
      <c r="C59" s="684"/>
      <c r="D59" s="688"/>
      <c r="E59" s="60" t="s">
        <v>197</v>
      </c>
      <c r="F59" s="582" t="s">
        <v>50</v>
      </c>
      <c r="G59" s="62" t="s">
        <v>50</v>
      </c>
      <c r="H59" s="62" t="s">
        <v>50</v>
      </c>
      <c r="I59" s="62">
        <v>45</v>
      </c>
      <c r="J59" s="62">
        <v>106</v>
      </c>
      <c r="K59" s="62">
        <v>165</v>
      </c>
      <c r="L59" s="62">
        <v>93</v>
      </c>
      <c r="M59" s="66">
        <v>87</v>
      </c>
    </row>
    <row r="60" spans="1:13" ht="29.15" customHeight="1" x14ac:dyDescent="0.3">
      <c r="A60" s="697"/>
      <c r="B60" s="684"/>
      <c r="C60" s="684"/>
      <c r="D60" s="688"/>
      <c r="E60" s="60" t="s">
        <v>198</v>
      </c>
      <c r="F60" s="582" t="s">
        <v>50</v>
      </c>
      <c r="G60" s="62" t="s">
        <v>50</v>
      </c>
      <c r="H60" s="62" t="s">
        <v>50</v>
      </c>
      <c r="I60" s="62" t="s">
        <v>50</v>
      </c>
      <c r="J60" s="62" t="s">
        <v>50</v>
      </c>
      <c r="K60" s="62" t="s">
        <v>50</v>
      </c>
      <c r="L60" s="62" t="s">
        <v>50</v>
      </c>
      <c r="M60" s="66" t="s">
        <v>50</v>
      </c>
    </row>
    <row r="61" spans="1:13" ht="29.15" customHeight="1" x14ac:dyDescent="0.3">
      <c r="A61" s="697"/>
      <c r="B61" s="684"/>
      <c r="C61" s="684"/>
      <c r="D61" s="688"/>
      <c r="E61" s="60" t="s">
        <v>199</v>
      </c>
      <c r="F61" s="582">
        <v>14</v>
      </c>
      <c r="G61" s="62">
        <v>14</v>
      </c>
      <c r="H61" s="62">
        <v>14</v>
      </c>
      <c r="I61" s="62" t="s">
        <v>50</v>
      </c>
      <c r="J61" s="62" t="s">
        <v>50</v>
      </c>
      <c r="K61" s="62" t="s">
        <v>50</v>
      </c>
      <c r="L61" s="62" t="s">
        <v>50</v>
      </c>
      <c r="M61" s="66" t="s">
        <v>50</v>
      </c>
    </row>
    <row r="62" spans="1:13" ht="29.15" customHeight="1" x14ac:dyDescent="0.3">
      <c r="A62" s="697"/>
      <c r="B62" s="684"/>
      <c r="C62" s="684"/>
      <c r="D62" s="688"/>
      <c r="E62" s="60" t="s">
        <v>200</v>
      </c>
      <c r="F62" s="582" t="s">
        <v>50</v>
      </c>
      <c r="G62" s="62" t="s">
        <v>50</v>
      </c>
      <c r="H62" s="62" t="s">
        <v>50</v>
      </c>
      <c r="I62" s="62" t="s">
        <v>50</v>
      </c>
      <c r="J62" s="62" t="s">
        <v>50</v>
      </c>
      <c r="K62" s="62" t="s">
        <v>50</v>
      </c>
      <c r="L62" s="62" t="s">
        <v>50</v>
      </c>
      <c r="M62" s="66" t="s">
        <v>50</v>
      </c>
    </row>
    <row r="63" spans="1:13" ht="29.15" customHeight="1" x14ac:dyDescent="0.3">
      <c r="A63" s="697"/>
      <c r="B63" s="684"/>
      <c r="C63" s="684"/>
      <c r="D63" s="688"/>
      <c r="E63" s="60" t="s">
        <v>201</v>
      </c>
      <c r="F63" s="582">
        <v>48</v>
      </c>
      <c r="G63" s="62" t="s">
        <v>50</v>
      </c>
      <c r="H63" s="62" t="s">
        <v>50</v>
      </c>
      <c r="I63" s="62">
        <v>14</v>
      </c>
      <c r="J63" s="62" t="s">
        <v>50</v>
      </c>
      <c r="K63" s="62" t="s">
        <v>50</v>
      </c>
      <c r="L63" s="62" t="s">
        <v>50</v>
      </c>
      <c r="M63" s="66" t="s">
        <v>50</v>
      </c>
    </row>
    <row r="64" spans="1:13" ht="29.15" customHeight="1" x14ac:dyDescent="0.3">
      <c r="A64" s="697"/>
      <c r="B64" s="684"/>
      <c r="C64" s="684"/>
      <c r="D64" s="688"/>
      <c r="E64" s="60" t="s">
        <v>202</v>
      </c>
      <c r="F64" s="582" t="s">
        <v>50</v>
      </c>
      <c r="G64" s="62" t="s">
        <v>50</v>
      </c>
      <c r="H64" s="62" t="s">
        <v>50</v>
      </c>
      <c r="I64" s="62" t="s">
        <v>50</v>
      </c>
      <c r="J64" s="62" t="s">
        <v>50</v>
      </c>
      <c r="K64" s="62" t="s">
        <v>50</v>
      </c>
      <c r="L64" s="62" t="s">
        <v>50</v>
      </c>
      <c r="M64" s="66" t="s">
        <v>50</v>
      </c>
    </row>
    <row r="65" spans="1:13" ht="29.15" customHeight="1" x14ac:dyDescent="0.3">
      <c r="A65" s="697"/>
      <c r="B65" s="685"/>
      <c r="C65" s="685"/>
      <c r="D65" s="688"/>
      <c r="E65" s="60" t="s">
        <v>203</v>
      </c>
      <c r="F65" s="582" t="s">
        <v>50</v>
      </c>
      <c r="G65" s="62" t="s">
        <v>50</v>
      </c>
      <c r="H65" s="62" t="s">
        <v>50</v>
      </c>
      <c r="I65" s="62" t="s">
        <v>50</v>
      </c>
      <c r="J65" s="62" t="s">
        <v>50</v>
      </c>
      <c r="K65" s="62" t="s">
        <v>50</v>
      </c>
      <c r="L65" s="62" t="s">
        <v>50</v>
      </c>
      <c r="M65" s="66" t="s">
        <v>50</v>
      </c>
    </row>
    <row r="66" spans="1:13" ht="29.15" customHeight="1" x14ac:dyDescent="0.3">
      <c r="A66" s="697"/>
      <c r="B66" s="683" t="s">
        <v>223</v>
      </c>
      <c r="C66" s="683" t="s">
        <v>222</v>
      </c>
      <c r="D66" s="688" t="s">
        <v>187</v>
      </c>
      <c r="E66" s="60" t="s">
        <v>192</v>
      </c>
      <c r="F66" s="582">
        <v>5384</v>
      </c>
      <c r="G66" s="62">
        <v>6947</v>
      </c>
      <c r="H66" s="62">
        <v>8707</v>
      </c>
      <c r="I66" s="62">
        <v>10478</v>
      </c>
      <c r="J66" s="62">
        <v>12711</v>
      </c>
      <c r="K66" s="62">
        <v>15271</v>
      </c>
      <c r="L66" s="62">
        <v>18164</v>
      </c>
      <c r="M66" s="66">
        <v>21153</v>
      </c>
    </row>
    <row r="67" spans="1:13" ht="29.15" customHeight="1" x14ac:dyDescent="0.3">
      <c r="A67" s="697"/>
      <c r="B67" s="684"/>
      <c r="C67" s="684"/>
      <c r="D67" s="688"/>
      <c r="E67" s="60" t="s">
        <v>193</v>
      </c>
      <c r="F67" s="582">
        <v>18304</v>
      </c>
      <c r="G67" s="62">
        <v>16831</v>
      </c>
      <c r="H67" s="62">
        <v>14932</v>
      </c>
      <c r="I67" s="62">
        <v>13116</v>
      </c>
      <c r="J67" s="62">
        <v>11110</v>
      </c>
      <c r="K67" s="62">
        <v>8809</v>
      </c>
      <c r="L67" s="62">
        <v>6215</v>
      </c>
      <c r="M67" s="66">
        <v>3703</v>
      </c>
    </row>
    <row r="68" spans="1:13" ht="29.15" customHeight="1" x14ac:dyDescent="0.3">
      <c r="A68" s="697"/>
      <c r="B68" s="684"/>
      <c r="C68" s="684"/>
      <c r="D68" s="688"/>
      <c r="E68" s="60" t="s">
        <v>194</v>
      </c>
      <c r="F68" s="582">
        <v>9811</v>
      </c>
      <c r="G68" s="62">
        <v>9726</v>
      </c>
      <c r="H68" s="62">
        <v>9584</v>
      </c>
      <c r="I68" s="62">
        <v>9479</v>
      </c>
      <c r="J68" s="62">
        <v>9380</v>
      </c>
      <c r="K68" s="62">
        <v>9212</v>
      </c>
      <c r="L68" s="62">
        <v>8827</v>
      </c>
      <c r="M68" s="66">
        <v>8631</v>
      </c>
    </row>
    <row r="69" spans="1:13" ht="29.15" customHeight="1" x14ac:dyDescent="0.3">
      <c r="A69" s="697"/>
      <c r="B69" s="684"/>
      <c r="C69" s="684"/>
      <c r="D69" s="688"/>
      <c r="E69" s="60" t="s">
        <v>195</v>
      </c>
      <c r="F69" s="582" t="s">
        <v>50</v>
      </c>
      <c r="G69" s="62" t="s">
        <v>50</v>
      </c>
      <c r="H69" s="62" t="s">
        <v>50</v>
      </c>
      <c r="I69" s="62" t="s">
        <v>50</v>
      </c>
      <c r="J69" s="62" t="s">
        <v>50</v>
      </c>
      <c r="K69" s="62" t="s">
        <v>50</v>
      </c>
      <c r="L69" s="62" t="s">
        <v>50</v>
      </c>
      <c r="M69" s="66" t="s">
        <v>50</v>
      </c>
    </row>
    <row r="70" spans="1:13" ht="29.15" customHeight="1" x14ac:dyDescent="0.3">
      <c r="A70" s="697"/>
      <c r="B70" s="684"/>
      <c r="C70" s="684"/>
      <c r="D70" s="688"/>
      <c r="E70" s="60" t="s">
        <v>196</v>
      </c>
      <c r="F70" s="582" t="s">
        <v>50</v>
      </c>
      <c r="G70" s="62" t="s">
        <v>50</v>
      </c>
      <c r="H70" s="62" t="s">
        <v>50</v>
      </c>
      <c r="I70" s="62" t="s">
        <v>50</v>
      </c>
      <c r="J70" s="62" t="s">
        <v>50</v>
      </c>
      <c r="K70" s="62" t="s">
        <v>50</v>
      </c>
      <c r="L70" s="62" t="s">
        <v>50</v>
      </c>
      <c r="M70" s="66" t="s">
        <v>50</v>
      </c>
    </row>
    <row r="71" spans="1:13" ht="29.15" customHeight="1" x14ac:dyDescent="0.3">
      <c r="A71" s="697"/>
      <c r="B71" s="684"/>
      <c r="C71" s="684"/>
      <c r="D71" s="688"/>
      <c r="E71" s="60" t="s">
        <v>197</v>
      </c>
      <c r="F71" s="582" t="s">
        <v>50</v>
      </c>
      <c r="G71" s="62" t="s">
        <v>50</v>
      </c>
      <c r="H71" s="62" t="s">
        <v>50</v>
      </c>
      <c r="I71" s="62">
        <v>400</v>
      </c>
      <c r="J71" s="62">
        <v>489</v>
      </c>
      <c r="K71" s="62">
        <v>759</v>
      </c>
      <c r="L71" s="62">
        <v>834</v>
      </c>
      <c r="M71" s="66">
        <v>808</v>
      </c>
    </row>
    <row r="72" spans="1:13" ht="29.15" customHeight="1" x14ac:dyDescent="0.3">
      <c r="A72" s="697"/>
      <c r="B72" s="684"/>
      <c r="C72" s="684"/>
      <c r="D72" s="688"/>
      <c r="E72" s="60" t="s">
        <v>198</v>
      </c>
      <c r="F72" s="582">
        <v>35</v>
      </c>
      <c r="G72" s="62">
        <v>38</v>
      </c>
      <c r="H72" s="62">
        <v>42</v>
      </c>
      <c r="I72" s="62">
        <v>45</v>
      </c>
      <c r="J72" s="62">
        <v>49</v>
      </c>
      <c r="K72" s="62">
        <v>52</v>
      </c>
      <c r="L72" s="62">
        <v>52</v>
      </c>
      <c r="M72" s="66">
        <v>56</v>
      </c>
    </row>
    <row r="73" spans="1:13" ht="29.15" customHeight="1" x14ac:dyDescent="0.3">
      <c r="A73" s="697"/>
      <c r="B73" s="684"/>
      <c r="C73" s="684"/>
      <c r="D73" s="688"/>
      <c r="E73" s="60" t="s">
        <v>199</v>
      </c>
      <c r="F73" s="582">
        <v>14</v>
      </c>
      <c r="G73" s="62">
        <v>9</v>
      </c>
      <c r="H73" s="62">
        <v>12</v>
      </c>
      <c r="I73" s="62">
        <v>12</v>
      </c>
      <c r="J73" s="62">
        <v>9</v>
      </c>
      <c r="K73" s="62">
        <v>9</v>
      </c>
      <c r="L73" s="62">
        <v>6</v>
      </c>
      <c r="M73" s="66">
        <v>4</v>
      </c>
    </row>
    <row r="74" spans="1:13" ht="29.15" customHeight="1" x14ac:dyDescent="0.3">
      <c r="A74" s="697"/>
      <c r="B74" s="684"/>
      <c r="C74" s="684"/>
      <c r="D74" s="688"/>
      <c r="E74" s="60" t="s">
        <v>200</v>
      </c>
      <c r="F74" s="582" t="s">
        <v>50</v>
      </c>
      <c r="G74" s="62" t="s">
        <v>50</v>
      </c>
      <c r="H74" s="62" t="s">
        <v>50</v>
      </c>
      <c r="I74" s="62" t="s">
        <v>50</v>
      </c>
      <c r="J74" s="62" t="s">
        <v>50</v>
      </c>
      <c r="K74" s="62" t="s">
        <v>50</v>
      </c>
      <c r="L74" s="62" t="s">
        <v>50</v>
      </c>
      <c r="M74" s="66" t="s">
        <v>50</v>
      </c>
    </row>
    <row r="75" spans="1:13" ht="29.15" customHeight="1" x14ac:dyDescent="0.3">
      <c r="A75" s="697"/>
      <c r="B75" s="684"/>
      <c r="C75" s="684"/>
      <c r="D75" s="688"/>
      <c r="E75" s="60" t="s">
        <v>201</v>
      </c>
      <c r="F75" s="582">
        <v>7</v>
      </c>
      <c r="G75" s="62">
        <v>4</v>
      </c>
      <c r="H75" s="62">
        <v>1</v>
      </c>
      <c r="I75" s="62" t="s">
        <v>50</v>
      </c>
      <c r="J75" s="62">
        <v>3</v>
      </c>
      <c r="K75" s="62">
        <v>1</v>
      </c>
      <c r="L75" s="62">
        <v>3</v>
      </c>
      <c r="M75" s="66">
        <v>2</v>
      </c>
    </row>
    <row r="76" spans="1:13" ht="29.15" customHeight="1" x14ac:dyDescent="0.3">
      <c r="A76" s="697"/>
      <c r="B76" s="684"/>
      <c r="C76" s="684"/>
      <c r="D76" s="688"/>
      <c r="E76" s="60" t="s">
        <v>202</v>
      </c>
      <c r="F76" s="582" t="s">
        <v>50</v>
      </c>
      <c r="G76" s="62" t="s">
        <v>50</v>
      </c>
      <c r="H76" s="62" t="s">
        <v>50</v>
      </c>
      <c r="I76" s="62" t="s">
        <v>50</v>
      </c>
      <c r="J76" s="62" t="s">
        <v>50</v>
      </c>
      <c r="K76" s="62" t="s">
        <v>50</v>
      </c>
      <c r="L76" s="62" t="s">
        <v>50</v>
      </c>
      <c r="M76" s="66" t="s">
        <v>50</v>
      </c>
    </row>
    <row r="77" spans="1:13" ht="29.15" customHeight="1" thickBot="1" x14ac:dyDescent="0.35">
      <c r="A77" s="697"/>
      <c r="B77" s="686"/>
      <c r="C77" s="686"/>
      <c r="D77" s="703"/>
      <c r="E77" s="73" t="s">
        <v>203</v>
      </c>
      <c r="F77" s="583" t="s">
        <v>50</v>
      </c>
      <c r="G77" s="71" t="s">
        <v>50</v>
      </c>
      <c r="H77" s="71" t="s">
        <v>50</v>
      </c>
      <c r="I77" s="71" t="s">
        <v>50</v>
      </c>
      <c r="J77" s="71" t="s">
        <v>50</v>
      </c>
      <c r="K77" s="71" t="s">
        <v>50</v>
      </c>
      <c r="L77" s="71" t="s">
        <v>50</v>
      </c>
      <c r="M77" s="72" t="s">
        <v>50</v>
      </c>
    </row>
    <row r="78" spans="1:13" ht="29.15" customHeight="1" thickTop="1" x14ac:dyDescent="0.3">
      <c r="A78" s="698"/>
      <c r="B78" s="699" t="s">
        <v>62</v>
      </c>
      <c r="C78" s="699"/>
      <c r="D78" s="699"/>
      <c r="E78" s="699"/>
      <c r="F78" s="80">
        <f>SUM(F17:F77)</f>
        <v>183067</v>
      </c>
      <c r="G78" s="80">
        <v>181852</v>
      </c>
      <c r="H78" s="80">
        <f>SUM(H17:H77)</f>
        <v>179761</v>
      </c>
      <c r="I78" s="80">
        <f>SUM(I17:I77)</f>
        <v>177842</v>
      </c>
      <c r="J78" s="80">
        <f t="shared" ref="J78:M78" si="1">SUM(J17:J77)</f>
        <v>175927</v>
      </c>
      <c r="K78" s="80">
        <f t="shared" si="1"/>
        <v>175116</v>
      </c>
      <c r="L78" s="80">
        <f t="shared" si="1"/>
        <v>173452</v>
      </c>
      <c r="M78" s="81">
        <f t="shared" si="1"/>
        <v>172212</v>
      </c>
    </row>
    <row r="79" spans="1:13" ht="29.15" customHeight="1" x14ac:dyDescent="0.3">
      <c r="A79" s="696" t="s">
        <v>189</v>
      </c>
      <c r="B79" s="700" t="s">
        <v>208</v>
      </c>
      <c r="C79" s="700"/>
      <c r="D79" s="700"/>
      <c r="E79" s="700"/>
      <c r="F79" s="585">
        <v>3144</v>
      </c>
      <c r="G79" s="63">
        <v>3149</v>
      </c>
      <c r="H79" s="63">
        <v>3204</v>
      </c>
      <c r="I79" s="63">
        <v>3232</v>
      </c>
      <c r="J79" s="63">
        <v>3263</v>
      </c>
      <c r="K79" s="63">
        <v>3315</v>
      </c>
      <c r="L79" s="63">
        <v>3381</v>
      </c>
      <c r="M79" s="77">
        <v>3437</v>
      </c>
    </row>
    <row r="80" spans="1:13" ht="29.15" customHeight="1" x14ac:dyDescent="0.3">
      <c r="A80" s="697"/>
      <c r="B80" s="701" t="s">
        <v>61</v>
      </c>
      <c r="C80" s="701"/>
      <c r="D80" s="701"/>
      <c r="E80" s="61" t="s">
        <v>190</v>
      </c>
      <c r="F80" s="582">
        <v>1037</v>
      </c>
      <c r="G80" s="62">
        <v>1027</v>
      </c>
      <c r="H80" s="62">
        <v>1028</v>
      </c>
      <c r="I80" s="62">
        <v>1033</v>
      </c>
      <c r="J80" s="62">
        <v>1036</v>
      </c>
      <c r="K80" s="62">
        <v>1025</v>
      </c>
      <c r="L80" s="62">
        <v>1046</v>
      </c>
      <c r="M80" s="66">
        <v>1006</v>
      </c>
    </row>
    <row r="81" spans="1:13" ht="29.15" customHeight="1" thickBot="1" x14ac:dyDescent="0.35">
      <c r="A81" s="697"/>
      <c r="B81" s="702"/>
      <c r="C81" s="702"/>
      <c r="D81" s="702"/>
      <c r="E81" s="74" t="s">
        <v>191</v>
      </c>
      <c r="F81" s="583">
        <v>849</v>
      </c>
      <c r="G81" s="71">
        <v>816</v>
      </c>
      <c r="H81" s="71">
        <v>814</v>
      </c>
      <c r="I81" s="71">
        <v>799</v>
      </c>
      <c r="J81" s="71">
        <v>785</v>
      </c>
      <c r="K81" s="71">
        <v>721</v>
      </c>
      <c r="L81" s="71">
        <v>728</v>
      </c>
      <c r="M81" s="72">
        <v>701</v>
      </c>
    </row>
    <row r="82" spans="1:13" ht="29.15" customHeight="1" thickTop="1" x14ac:dyDescent="0.3">
      <c r="A82" s="698"/>
      <c r="B82" s="699" t="s">
        <v>62</v>
      </c>
      <c r="C82" s="699"/>
      <c r="D82" s="699"/>
      <c r="E82" s="699"/>
      <c r="F82" s="80">
        <f>SUM(F79:F81)</f>
        <v>5030</v>
      </c>
      <c r="G82" s="80">
        <v>4992</v>
      </c>
      <c r="H82" s="80">
        <f>SUM(H79:H81)</f>
        <v>5046</v>
      </c>
      <c r="I82" s="80">
        <f>SUM(I79:I81)</f>
        <v>5064</v>
      </c>
      <c r="J82" s="80">
        <f t="shared" ref="J82:M82" si="2">SUM(J79:J81)</f>
        <v>5084</v>
      </c>
      <c r="K82" s="80">
        <f t="shared" si="2"/>
        <v>5061</v>
      </c>
      <c r="L82" s="80">
        <f t="shared" si="2"/>
        <v>5155</v>
      </c>
      <c r="M82" s="81">
        <f t="shared" si="2"/>
        <v>5144</v>
      </c>
    </row>
    <row r="83" spans="1:13" ht="29.15" customHeight="1" thickBot="1" x14ac:dyDescent="0.35">
      <c r="A83" s="692" t="s">
        <v>205</v>
      </c>
      <c r="B83" s="693"/>
      <c r="C83" s="693"/>
      <c r="D83" s="693"/>
      <c r="E83" s="693"/>
      <c r="F83" s="584">
        <v>18159</v>
      </c>
      <c r="G83" s="75">
        <v>18044</v>
      </c>
      <c r="H83" s="75">
        <v>17553</v>
      </c>
      <c r="I83" s="75">
        <v>16962</v>
      </c>
      <c r="J83" s="75">
        <v>16473</v>
      </c>
      <c r="K83" s="75">
        <v>16421</v>
      </c>
      <c r="L83" s="75">
        <v>16444</v>
      </c>
      <c r="M83" s="76">
        <v>16694</v>
      </c>
    </row>
    <row r="84" spans="1:13" ht="29.15" customHeight="1" thickTop="1" x14ac:dyDescent="0.3">
      <c r="A84" s="708" t="s">
        <v>206</v>
      </c>
      <c r="B84" s="709"/>
      <c r="C84" s="709"/>
      <c r="D84" s="709"/>
      <c r="E84" s="709"/>
      <c r="F84" s="508">
        <f>F16+F78+F82+F83</f>
        <v>319410</v>
      </c>
      <c r="G84" s="508">
        <v>320657</v>
      </c>
      <c r="H84" s="508">
        <f>H16+H78+H82+H83</f>
        <v>321450</v>
      </c>
      <c r="I84" s="508">
        <f>I16+I78+I82+I83</f>
        <v>320901</v>
      </c>
      <c r="J84" s="508">
        <f t="shared" ref="J84:M84" si="3">J16+J78+J82+J83</f>
        <v>321321</v>
      </c>
      <c r="K84" s="508">
        <f t="shared" si="3"/>
        <v>324144</v>
      </c>
      <c r="L84" s="508">
        <f t="shared" si="3"/>
        <v>326303</v>
      </c>
      <c r="M84" s="509">
        <f t="shared" si="3"/>
        <v>329560</v>
      </c>
    </row>
    <row r="85" spans="1:13" ht="29.15" customHeight="1" x14ac:dyDescent="0.3">
      <c r="A85" s="705" t="s">
        <v>225</v>
      </c>
      <c r="B85" s="706"/>
      <c r="C85" s="706"/>
      <c r="D85" s="706"/>
      <c r="E85" s="707"/>
      <c r="F85" s="78">
        <v>241540</v>
      </c>
      <c r="G85" s="67">
        <v>243728</v>
      </c>
      <c r="H85" s="67">
        <v>246416</v>
      </c>
      <c r="I85" s="67">
        <v>246340</v>
      </c>
      <c r="J85" s="67">
        <v>247092</v>
      </c>
      <c r="K85" s="67">
        <v>249654</v>
      </c>
      <c r="L85" s="67">
        <v>252140</v>
      </c>
      <c r="M85" s="68">
        <v>255359</v>
      </c>
    </row>
  </sheetData>
  <customSheetViews>
    <customSheetView guid="{501209ED-4B79-4E52-B95E-748E5E77E24F}">
      <pane xSplit="5" ySplit="6" topLeftCell="F7" activePane="bottomRight" state="frozen"/>
      <selection pane="bottomRight" activeCell="B1" sqref="B1"/>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45">
    <mergeCell ref="A8:A16"/>
    <mergeCell ref="B8:E8"/>
    <mergeCell ref="B9:E9"/>
    <mergeCell ref="B10:E10"/>
    <mergeCell ref="B11:E11"/>
    <mergeCell ref="B12:E12"/>
    <mergeCell ref="B15:E15"/>
    <mergeCell ref="B16:E16"/>
    <mergeCell ref="B13:E13"/>
    <mergeCell ref="B14:E14"/>
    <mergeCell ref="C30:C41"/>
    <mergeCell ref="D30:D41"/>
    <mergeCell ref="B18:B29"/>
    <mergeCell ref="C18:E18"/>
    <mergeCell ref="C19:E19"/>
    <mergeCell ref="C20:E20"/>
    <mergeCell ref="C21:E21"/>
    <mergeCell ref="C22:E22"/>
    <mergeCell ref="C23:E23"/>
    <mergeCell ref="C24:E24"/>
    <mergeCell ref="B54:B65"/>
    <mergeCell ref="C54:C65"/>
    <mergeCell ref="D54:D65"/>
    <mergeCell ref="A83:E83"/>
    <mergeCell ref="A84:E84"/>
    <mergeCell ref="A17:A78"/>
    <mergeCell ref="B17:E17"/>
    <mergeCell ref="C25:E25"/>
    <mergeCell ref="C26:E26"/>
    <mergeCell ref="C27:E27"/>
    <mergeCell ref="C28:E28"/>
    <mergeCell ref="C29:E29"/>
    <mergeCell ref="B42:B53"/>
    <mergeCell ref="C42:C53"/>
    <mergeCell ref="D42:D53"/>
    <mergeCell ref="B30:B41"/>
    <mergeCell ref="A85:E85"/>
    <mergeCell ref="B66:B77"/>
    <mergeCell ref="C66:C77"/>
    <mergeCell ref="D66:D77"/>
    <mergeCell ref="B78:E78"/>
    <mergeCell ref="A79:A82"/>
    <mergeCell ref="B79:E79"/>
    <mergeCell ref="B80:D81"/>
    <mergeCell ref="B82:E82"/>
  </mergeCells>
  <phoneticPr fontId="15"/>
  <conditionalFormatting sqref="G8:G12 G15:G85">
    <cfRule type="containsBlanks" dxfId="60" priority="14">
      <formula>LEN(TRIM(G8))=0</formula>
    </cfRule>
  </conditionalFormatting>
  <conditionalFormatting sqref="F21:F29 F36:F38 F40:F41">
    <cfRule type="containsBlanks" dxfId="59" priority="13">
      <formula>LEN(TRIM(F21))=0</formula>
    </cfRule>
  </conditionalFormatting>
  <conditionalFormatting sqref="G13:G14">
    <cfRule type="containsBlanks" dxfId="58" priority="12">
      <formula>LEN(TRIM(G13))=0</formula>
    </cfRule>
  </conditionalFormatting>
  <conditionalFormatting sqref="F85">
    <cfRule type="containsBlanks" dxfId="57" priority="1">
      <formula>LEN(TRIM(F85))=0</formula>
    </cfRule>
  </conditionalFormatting>
  <conditionalFormatting sqref="F8:F15">
    <cfRule type="containsBlanks" dxfId="56" priority="10">
      <formula>LEN(TRIM(F8))=0</formula>
    </cfRule>
  </conditionalFormatting>
  <conditionalFormatting sqref="F17:F20">
    <cfRule type="containsBlanks" dxfId="55" priority="9">
      <formula>LEN(TRIM(F17))=0</formula>
    </cfRule>
  </conditionalFormatting>
  <conditionalFormatting sqref="F30:F35">
    <cfRule type="containsBlanks" dxfId="54" priority="8">
      <formula>LEN(TRIM(F30))=0</formula>
    </cfRule>
  </conditionalFormatting>
  <conditionalFormatting sqref="F39">
    <cfRule type="containsBlanks" dxfId="53" priority="7">
      <formula>LEN(TRIM(F39))=0</formula>
    </cfRule>
  </conditionalFormatting>
  <conditionalFormatting sqref="F42:F53">
    <cfRule type="containsBlanks" dxfId="52" priority="6">
      <formula>LEN(TRIM(F42))=0</formula>
    </cfRule>
  </conditionalFormatting>
  <conditionalFormatting sqref="F54:F65">
    <cfRule type="containsBlanks" dxfId="51" priority="5">
      <formula>LEN(TRIM(F54))=0</formula>
    </cfRule>
  </conditionalFormatting>
  <conditionalFormatting sqref="F66:F77">
    <cfRule type="containsBlanks" dxfId="50" priority="4">
      <formula>LEN(TRIM(F66))=0</formula>
    </cfRule>
  </conditionalFormatting>
  <conditionalFormatting sqref="F79:F81">
    <cfRule type="containsBlanks" dxfId="49" priority="3">
      <formula>LEN(TRIM(F79))=0</formula>
    </cfRule>
  </conditionalFormatting>
  <conditionalFormatting sqref="F83">
    <cfRule type="containsBlanks" dxfId="48" priority="2">
      <formula>LEN(TRIM(F83))=0</formula>
    </cfRule>
  </conditionalFormatting>
  <hyperlinks>
    <hyperlink ref="A1:D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zoomScale="85" zoomScaleNormal="85" workbookViewId="0">
      <pane xSplit="2" ySplit="11" topLeftCell="C12" activePane="bottomRight" state="frozen"/>
      <selection pane="topRight" activeCell="C1" sqref="C1"/>
      <selection pane="bottomLeft" activeCell="A12" sqref="A12"/>
      <selection pane="bottomRight"/>
    </sheetView>
  </sheetViews>
  <sheetFormatPr defaultColWidth="8.58203125" defaultRowHeight="14.5" outlineLevelRow="1" x14ac:dyDescent="0.35"/>
  <cols>
    <col min="1" max="1" width="10.33203125" style="2" bestFit="1" customWidth="1"/>
    <col min="2" max="2" width="13.58203125" style="4" customWidth="1"/>
    <col min="3" max="5" width="10.33203125" style="1" customWidth="1"/>
    <col min="6" max="8" width="10.33203125" style="1" bestFit="1" customWidth="1"/>
    <col min="9" max="22" width="10.33203125" style="1" customWidth="1"/>
    <col min="23" max="16384" width="8.58203125" style="1"/>
  </cols>
  <sheetData>
    <row r="1" spans="1:22" x14ac:dyDescent="0.35">
      <c r="A1" s="432" t="s">
        <v>438</v>
      </c>
    </row>
    <row r="3" spans="1:22" s="253" customFormat="1" ht="20.149999999999999" customHeight="1" x14ac:dyDescent="0.55000000000000004">
      <c r="A3" s="252" t="s">
        <v>114</v>
      </c>
    </row>
    <row r="4" spans="1:22" s="253" customFormat="1" ht="20.149999999999999" customHeight="1" x14ac:dyDescent="0.55000000000000004">
      <c r="A4" s="252" t="s">
        <v>115</v>
      </c>
    </row>
    <row r="5" spans="1:22" s="253" customFormat="1" ht="14.5" customHeight="1" x14ac:dyDescent="0.55000000000000004">
      <c r="A5" s="46"/>
      <c r="B5" s="252"/>
    </row>
    <row r="6" spans="1:22" s="22" customFormat="1" ht="14.5" customHeight="1" x14ac:dyDescent="0.55000000000000004">
      <c r="A6" s="17" t="s">
        <v>28</v>
      </c>
      <c r="B6" s="16" t="s">
        <v>1107</v>
      </c>
    </row>
    <row r="7" spans="1:22" s="22" customFormat="1" ht="14.5" customHeight="1" x14ac:dyDescent="0.55000000000000004">
      <c r="A7" s="15"/>
      <c r="B7" s="16" t="s">
        <v>1096</v>
      </c>
    </row>
    <row r="8" spans="1:22" s="253" customFormat="1" ht="14.5" customHeight="1" x14ac:dyDescent="0.55000000000000004">
      <c r="A8" s="46"/>
      <c r="B8" s="30" t="s">
        <v>1099</v>
      </c>
      <c r="C8" s="16"/>
    </row>
    <row r="9" spans="1:22" s="253" customFormat="1" ht="20.149999999999999" customHeight="1" x14ac:dyDescent="0.55000000000000004">
      <c r="A9" s="16" t="s">
        <v>29</v>
      </c>
      <c r="B9" s="252"/>
    </row>
    <row r="10" spans="1:22" s="9" customFormat="1" ht="20.149999999999999" customHeight="1" x14ac:dyDescent="0.55000000000000004">
      <c r="A10" s="10"/>
      <c r="C10" s="654" t="s">
        <v>11</v>
      </c>
      <c r="D10" s="655"/>
      <c r="E10" s="655"/>
      <c r="F10" s="655"/>
      <c r="G10" s="655"/>
      <c r="H10" s="656"/>
      <c r="I10" s="654" t="s">
        <v>12</v>
      </c>
      <c r="J10" s="655"/>
      <c r="K10" s="655"/>
      <c r="L10" s="655"/>
      <c r="M10" s="655"/>
      <c r="N10" s="655"/>
      <c r="O10" s="656"/>
      <c r="P10" s="647" t="s">
        <v>13</v>
      </c>
      <c r="Q10" s="648"/>
      <c r="R10" s="648"/>
      <c r="S10" s="648"/>
      <c r="T10" s="648"/>
      <c r="U10" s="648"/>
      <c r="V10" s="649"/>
    </row>
    <row r="11" spans="1:22" s="9" customFormat="1" ht="20.149999999999999" customHeight="1" x14ac:dyDescent="0.55000000000000004">
      <c r="A11" s="10"/>
      <c r="C11" s="646" t="s">
        <v>16</v>
      </c>
      <c r="D11" s="646" t="s">
        <v>15</v>
      </c>
      <c r="E11" s="646" t="s">
        <v>9</v>
      </c>
      <c r="F11" s="653" t="s">
        <v>10</v>
      </c>
      <c r="G11" s="653"/>
      <c r="H11" s="653"/>
      <c r="I11" s="646" t="s">
        <v>7</v>
      </c>
      <c r="J11" s="646" t="s">
        <v>8</v>
      </c>
      <c r="K11" s="646" t="s">
        <v>9</v>
      </c>
      <c r="L11" s="650" t="s">
        <v>10</v>
      </c>
      <c r="M11" s="651"/>
      <c r="N11" s="651"/>
      <c r="O11" s="652"/>
      <c r="P11" s="646" t="s">
        <v>7</v>
      </c>
      <c r="Q11" s="646" t="s">
        <v>8</v>
      </c>
      <c r="R11" s="646" t="s">
        <v>9</v>
      </c>
      <c r="S11" s="650" t="s">
        <v>10</v>
      </c>
      <c r="T11" s="651"/>
      <c r="U11" s="651"/>
      <c r="V11" s="652"/>
    </row>
    <row r="12" spans="1:22" s="9" customFormat="1" ht="43.5" x14ac:dyDescent="0.55000000000000004">
      <c r="A12" s="10"/>
      <c r="C12" s="646"/>
      <c r="D12" s="646"/>
      <c r="E12" s="646"/>
      <c r="F12" s="264" t="s">
        <v>5</v>
      </c>
      <c r="G12" s="264" t="s">
        <v>6</v>
      </c>
      <c r="H12" s="264" t="s">
        <v>14</v>
      </c>
      <c r="I12" s="646"/>
      <c r="J12" s="646"/>
      <c r="K12" s="646"/>
      <c r="L12" s="264" t="s">
        <v>5</v>
      </c>
      <c r="M12" s="264" t="s">
        <v>6</v>
      </c>
      <c r="N12" s="264" t="s">
        <v>14</v>
      </c>
      <c r="O12" s="264" t="s">
        <v>17</v>
      </c>
      <c r="P12" s="646"/>
      <c r="Q12" s="646"/>
      <c r="R12" s="646"/>
      <c r="S12" s="264" t="s">
        <v>5</v>
      </c>
      <c r="T12" s="264" t="s">
        <v>6</v>
      </c>
      <c r="U12" s="264" t="s">
        <v>14</v>
      </c>
      <c r="V12" s="264" t="s">
        <v>17</v>
      </c>
    </row>
    <row r="13" spans="1:22" ht="20.149999999999999" customHeight="1" collapsed="1" x14ac:dyDescent="0.3">
      <c r="B13" s="540" t="s">
        <v>1126</v>
      </c>
      <c r="C13" s="258">
        <f t="shared" ref="C13:V13" si="0">SUM(C15:C24)</f>
        <v>155131</v>
      </c>
      <c r="D13" s="259">
        <f t="shared" si="0"/>
        <v>138425</v>
      </c>
      <c r="E13" s="259">
        <f t="shared" si="0"/>
        <v>155131</v>
      </c>
      <c r="F13" s="259">
        <f t="shared" si="0"/>
        <v>16706</v>
      </c>
      <c r="G13" s="259">
        <f t="shared" si="0"/>
        <v>0</v>
      </c>
      <c r="H13" s="260">
        <f t="shared" si="0"/>
        <v>138425</v>
      </c>
      <c r="I13" s="259">
        <f t="shared" si="0"/>
        <v>575253</v>
      </c>
      <c r="J13" s="259">
        <f t="shared" si="0"/>
        <v>552354</v>
      </c>
      <c r="K13" s="259">
        <f t="shared" si="0"/>
        <v>579482</v>
      </c>
      <c r="L13" s="259">
        <f t="shared" si="0"/>
        <v>22901</v>
      </c>
      <c r="M13" s="259">
        <f t="shared" si="0"/>
        <v>2</v>
      </c>
      <c r="N13" s="259">
        <f t="shared" si="0"/>
        <v>552352</v>
      </c>
      <c r="O13" s="259">
        <f t="shared" si="0"/>
        <v>4227</v>
      </c>
      <c r="P13" s="258">
        <f t="shared" si="0"/>
        <v>730384</v>
      </c>
      <c r="Q13" s="259">
        <f t="shared" si="0"/>
        <v>690779</v>
      </c>
      <c r="R13" s="259">
        <f t="shared" si="0"/>
        <v>734613</v>
      </c>
      <c r="S13" s="259">
        <f t="shared" si="0"/>
        <v>39607</v>
      </c>
      <c r="T13" s="259">
        <f t="shared" si="0"/>
        <v>2</v>
      </c>
      <c r="U13" s="259">
        <f t="shared" si="0"/>
        <v>690777</v>
      </c>
      <c r="V13" s="260">
        <f t="shared" si="0"/>
        <v>4227</v>
      </c>
    </row>
    <row r="14" spans="1:22" ht="20.149999999999999" customHeight="1" x14ac:dyDescent="0.3">
      <c r="B14" s="548" t="s">
        <v>1101</v>
      </c>
      <c r="C14" s="543"/>
      <c r="D14" s="543"/>
      <c r="E14" s="543"/>
      <c r="F14" s="543"/>
      <c r="G14" s="543"/>
      <c r="H14" s="543"/>
      <c r="I14" s="543"/>
      <c r="J14" s="543"/>
      <c r="K14" s="543"/>
      <c r="L14" s="543"/>
      <c r="M14" s="543"/>
      <c r="N14" s="543"/>
      <c r="O14" s="543"/>
      <c r="P14" s="543"/>
      <c r="Q14" s="543"/>
      <c r="R14" s="543"/>
      <c r="S14" s="543"/>
      <c r="T14" s="543"/>
      <c r="U14" s="543"/>
      <c r="V14" s="542"/>
    </row>
    <row r="15" spans="1:22" s="255" customFormat="1" ht="20.149999999999999" customHeight="1" outlineLevel="1" x14ac:dyDescent="0.55000000000000004">
      <c r="A15" s="34"/>
      <c r="B15" s="544" t="s">
        <v>18</v>
      </c>
      <c r="C15" s="12">
        <f>SUM(F15,H15)</f>
        <v>23304</v>
      </c>
      <c r="D15" s="11">
        <f>SUM(G15,H15)</f>
        <v>21084</v>
      </c>
      <c r="E15" s="11">
        <f>SUM(F15:H15)</f>
        <v>23304</v>
      </c>
      <c r="F15" s="11">
        <v>2220</v>
      </c>
      <c r="G15" s="11">
        <v>0</v>
      </c>
      <c r="H15" s="256">
        <v>21084</v>
      </c>
      <c r="I15" s="11">
        <f>SUM(L15,N15)</f>
        <v>83334</v>
      </c>
      <c r="J15" s="11">
        <f>SUM(M15,N15)</f>
        <v>80450</v>
      </c>
      <c r="K15" s="11">
        <f>SUM(L15:N15)</f>
        <v>83334</v>
      </c>
      <c r="L15" s="11">
        <v>2884</v>
      </c>
      <c r="M15" s="11">
        <v>0</v>
      </c>
      <c r="N15" s="11">
        <v>80450</v>
      </c>
      <c r="O15" s="11">
        <v>0</v>
      </c>
      <c r="P15" s="12">
        <f>C15+I15</f>
        <v>106638</v>
      </c>
      <c r="Q15" s="11">
        <f t="shared" ref="Q15:Q24" si="1">D15+J15</f>
        <v>101534</v>
      </c>
      <c r="R15" s="11">
        <f t="shared" ref="R15:R24" si="2">E15+K15</f>
        <v>106638</v>
      </c>
      <c r="S15" s="11">
        <f t="shared" ref="S15:S24" si="3">F15+L15</f>
        <v>5104</v>
      </c>
      <c r="T15" s="11">
        <f t="shared" ref="T15:T24" si="4">G15+M15</f>
        <v>0</v>
      </c>
      <c r="U15" s="11">
        <f t="shared" ref="U15:U24" si="5">H15+N15</f>
        <v>101534</v>
      </c>
      <c r="V15" s="256">
        <f>O15</f>
        <v>0</v>
      </c>
    </row>
    <row r="16" spans="1:22" s="255" customFormat="1" ht="20.149999999999999" customHeight="1" outlineLevel="1" x14ac:dyDescent="0.55000000000000004">
      <c r="A16" s="34"/>
      <c r="B16" s="545" t="s">
        <v>19</v>
      </c>
      <c r="C16" s="14">
        <f t="shared" ref="C16:C21" si="6">SUM(F16,H16)</f>
        <v>14600</v>
      </c>
      <c r="D16" s="13">
        <f t="shared" ref="D16:D21" si="7">SUM(G16,H16)</f>
        <v>13022</v>
      </c>
      <c r="E16" s="13">
        <f t="shared" ref="E16:E21" si="8">SUM(F16:H16)</f>
        <v>14600</v>
      </c>
      <c r="F16" s="13">
        <v>1578</v>
      </c>
      <c r="G16" s="13">
        <v>0</v>
      </c>
      <c r="H16" s="257">
        <v>13022</v>
      </c>
      <c r="I16" s="13">
        <f t="shared" ref="I16:I23" si="9">SUM(L16,N16)</f>
        <v>50637</v>
      </c>
      <c r="J16" s="13">
        <f t="shared" ref="J16:J23" si="10">SUM(M16,N16)</f>
        <v>48907</v>
      </c>
      <c r="K16" s="13">
        <f t="shared" ref="K16:K23" si="11">SUM(L16:N16)</f>
        <v>50637</v>
      </c>
      <c r="L16" s="13">
        <v>1730</v>
      </c>
      <c r="M16" s="13">
        <v>0</v>
      </c>
      <c r="N16" s="13">
        <v>48907</v>
      </c>
      <c r="O16" s="13">
        <v>0</v>
      </c>
      <c r="P16" s="14">
        <f t="shared" ref="P16:P24" si="12">C16+I16</f>
        <v>65237</v>
      </c>
      <c r="Q16" s="13">
        <f t="shared" si="1"/>
        <v>61929</v>
      </c>
      <c r="R16" s="13">
        <f t="shared" si="2"/>
        <v>65237</v>
      </c>
      <c r="S16" s="13">
        <f t="shared" si="3"/>
        <v>3308</v>
      </c>
      <c r="T16" s="13">
        <f t="shared" si="4"/>
        <v>0</v>
      </c>
      <c r="U16" s="13">
        <f t="shared" si="5"/>
        <v>61929</v>
      </c>
      <c r="V16" s="256">
        <f t="shared" ref="V16:V24" si="13">O16</f>
        <v>0</v>
      </c>
    </row>
    <row r="17" spans="1:22" s="255" customFormat="1" ht="20.149999999999999" customHeight="1" outlineLevel="1" x14ac:dyDescent="0.55000000000000004">
      <c r="A17" s="261"/>
      <c r="B17" s="545" t="s">
        <v>20</v>
      </c>
      <c r="C17" s="14">
        <f t="shared" si="6"/>
        <v>19739</v>
      </c>
      <c r="D17" s="13">
        <f t="shared" si="7"/>
        <v>17095</v>
      </c>
      <c r="E17" s="13">
        <f t="shared" si="8"/>
        <v>19739</v>
      </c>
      <c r="F17" s="13">
        <v>2644</v>
      </c>
      <c r="G17" s="13">
        <v>0</v>
      </c>
      <c r="H17" s="257">
        <v>17095</v>
      </c>
      <c r="I17" s="13">
        <f t="shared" si="9"/>
        <v>54329</v>
      </c>
      <c r="J17" s="13">
        <f t="shared" si="10"/>
        <v>52764</v>
      </c>
      <c r="K17" s="13">
        <f t="shared" si="11"/>
        <v>54330</v>
      </c>
      <c r="L17" s="13">
        <v>1566</v>
      </c>
      <c r="M17" s="13">
        <v>1</v>
      </c>
      <c r="N17" s="13">
        <v>52763</v>
      </c>
      <c r="O17" s="13">
        <v>0</v>
      </c>
      <c r="P17" s="14">
        <f t="shared" si="12"/>
        <v>74068</v>
      </c>
      <c r="Q17" s="13">
        <f t="shared" si="1"/>
        <v>69859</v>
      </c>
      <c r="R17" s="13">
        <f t="shared" si="2"/>
        <v>74069</v>
      </c>
      <c r="S17" s="13">
        <f t="shared" si="3"/>
        <v>4210</v>
      </c>
      <c r="T17" s="13">
        <f t="shared" si="4"/>
        <v>1</v>
      </c>
      <c r="U17" s="13">
        <f t="shared" si="5"/>
        <v>69858</v>
      </c>
      <c r="V17" s="256">
        <f t="shared" si="13"/>
        <v>0</v>
      </c>
    </row>
    <row r="18" spans="1:22" s="255" customFormat="1" ht="20.149999999999999" customHeight="1" outlineLevel="1" x14ac:dyDescent="0.55000000000000004">
      <c r="A18" s="261"/>
      <c r="B18" s="545" t="s">
        <v>21</v>
      </c>
      <c r="C18" s="14">
        <f t="shared" si="6"/>
        <v>12548</v>
      </c>
      <c r="D18" s="13">
        <f t="shared" si="7"/>
        <v>11216</v>
      </c>
      <c r="E18" s="13">
        <f t="shared" si="8"/>
        <v>12548</v>
      </c>
      <c r="F18" s="13">
        <v>1332</v>
      </c>
      <c r="G18" s="13">
        <v>0</v>
      </c>
      <c r="H18" s="257">
        <v>11216</v>
      </c>
      <c r="I18" s="13">
        <f t="shared" si="9"/>
        <v>40286</v>
      </c>
      <c r="J18" s="13">
        <f t="shared" si="10"/>
        <v>38783</v>
      </c>
      <c r="K18" s="13">
        <f t="shared" si="11"/>
        <v>40286</v>
      </c>
      <c r="L18" s="13">
        <v>1503</v>
      </c>
      <c r="M18" s="13">
        <v>0</v>
      </c>
      <c r="N18" s="13">
        <v>38783</v>
      </c>
      <c r="O18" s="13">
        <v>0</v>
      </c>
      <c r="P18" s="14">
        <f t="shared" si="12"/>
        <v>52834</v>
      </c>
      <c r="Q18" s="13">
        <f t="shared" si="1"/>
        <v>49999</v>
      </c>
      <c r="R18" s="13">
        <f t="shared" si="2"/>
        <v>52834</v>
      </c>
      <c r="S18" s="13">
        <f t="shared" si="3"/>
        <v>2835</v>
      </c>
      <c r="T18" s="13">
        <f t="shared" si="4"/>
        <v>0</v>
      </c>
      <c r="U18" s="13">
        <f t="shared" si="5"/>
        <v>49999</v>
      </c>
      <c r="V18" s="256">
        <f t="shared" si="13"/>
        <v>0</v>
      </c>
    </row>
    <row r="19" spans="1:22" s="255" customFormat="1" ht="20.149999999999999" customHeight="1" outlineLevel="1" x14ac:dyDescent="0.55000000000000004">
      <c r="A19" s="261"/>
      <c r="B19" s="545" t="s">
        <v>22</v>
      </c>
      <c r="C19" s="14">
        <f t="shared" si="6"/>
        <v>19260</v>
      </c>
      <c r="D19" s="13">
        <f t="shared" si="7"/>
        <v>17305</v>
      </c>
      <c r="E19" s="13">
        <f t="shared" si="8"/>
        <v>19260</v>
      </c>
      <c r="F19" s="13">
        <v>1955</v>
      </c>
      <c r="G19" s="13">
        <v>0</v>
      </c>
      <c r="H19" s="257">
        <v>17305</v>
      </c>
      <c r="I19" s="13">
        <f t="shared" si="9"/>
        <v>82621</v>
      </c>
      <c r="J19" s="13">
        <f t="shared" si="10"/>
        <v>78836</v>
      </c>
      <c r="K19" s="13">
        <f t="shared" si="11"/>
        <v>82621</v>
      </c>
      <c r="L19" s="13">
        <v>3785</v>
      </c>
      <c r="M19" s="13">
        <v>0</v>
      </c>
      <c r="N19" s="13">
        <v>78836</v>
      </c>
      <c r="O19" s="13">
        <v>0</v>
      </c>
      <c r="P19" s="14">
        <f t="shared" si="12"/>
        <v>101881</v>
      </c>
      <c r="Q19" s="13">
        <f t="shared" si="1"/>
        <v>96141</v>
      </c>
      <c r="R19" s="13">
        <f t="shared" si="2"/>
        <v>101881</v>
      </c>
      <c r="S19" s="13">
        <f t="shared" si="3"/>
        <v>5740</v>
      </c>
      <c r="T19" s="13">
        <f t="shared" si="4"/>
        <v>0</v>
      </c>
      <c r="U19" s="13">
        <f t="shared" si="5"/>
        <v>96141</v>
      </c>
      <c r="V19" s="256">
        <f t="shared" si="13"/>
        <v>0</v>
      </c>
    </row>
    <row r="20" spans="1:22" s="255" customFormat="1" ht="20.149999999999999" customHeight="1" outlineLevel="1" x14ac:dyDescent="0.55000000000000004">
      <c r="A20" s="261"/>
      <c r="B20" s="545" t="s">
        <v>23</v>
      </c>
      <c r="C20" s="14">
        <f t="shared" si="6"/>
        <v>9985</v>
      </c>
      <c r="D20" s="13">
        <f t="shared" si="7"/>
        <v>8729</v>
      </c>
      <c r="E20" s="13">
        <f t="shared" si="8"/>
        <v>9985</v>
      </c>
      <c r="F20" s="13">
        <v>1256</v>
      </c>
      <c r="G20" s="13">
        <v>0</v>
      </c>
      <c r="H20" s="257">
        <v>8729</v>
      </c>
      <c r="I20" s="13">
        <f t="shared" si="9"/>
        <v>31762</v>
      </c>
      <c r="J20" s="13">
        <f t="shared" si="10"/>
        <v>30372</v>
      </c>
      <c r="K20" s="13">
        <f t="shared" si="11"/>
        <v>31762</v>
      </c>
      <c r="L20" s="13">
        <v>1390</v>
      </c>
      <c r="M20" s="13">
        <v>0</v>
      </c>
      <c r="N20" s="13">
        <v>30372</v>
      </c>
      <c r="O20" s="13">
        <v>0</v>
      </c>
      <c r="P20" s="14">
        <f t="shared" si="12"/>
        <v>41747</v>
      </c>
      <c r="Q20" s="13">
        <f t="shared" si="1"/>
        <v>39101</v>
      </c>
      <c r="R20" s="13">
        <f t="shared" si="2"/>
        <v>41747</v>
      </c>
      <c r="S20" s="13">
        <f t="shared" si="3"/>
        <v>2646</v>
      </c>
      <c r="T20" s="13">
        <f t="shared" si="4"/>
        <v>0</v>
      </c>
      <c r="U20" s="13">
        <f t="shared" si="5"/>
        <v>39101</v>
      </c>
      <c r="V20" s="256">
        <f t="shared" si="13"/>
        <v>0</v>
      </c>
    </row>
    <row r="21" spans="1:22" s="255" customFormat="1" ht="20.149999999999999" customHeight="1" outlineLevel="1" x14ac:dyDescent="0.55000000000000004">
      <c r="A21" s="261"/>
      <c r="B21" s="545" t="s">
        <v>24</v>
      </c>
      <c r="C21" s="14">
        <f t="shared" si="6"/>
        <v>14817</v>
      </c>
      <c r="D21" s="13">
        <f t="shared" si="7"/>
        <v>13228</v>
      </c>
      <c r="E21" s="13">
        <f t="shared" si="8"/>
        <v>14817</v>
      </c>
      <c r="F21" s="13">
        <v>1589</v>
      </c>
      <c r="G21" s="13">
        <v>0</v>
      </c>
      <c r="H21" s="257">
        <v>13228</v>
      </c>
      <c r="I21" s="13">
        <f t="shared" si="9"/>
        <v>59422</v>
      </c>
      <c r="J21" s="13">
        <f t="shared" si="10"/>
        <v>56802</v>
      </c>
      <c r="K21" s="13">
        <f t="shared" si="11"/>
        <v>59423</v>
      </c>
      <c r="L21" s="13">
        <v>2621</v>
      </c>
      <c r="M21" s="13">
        <v>1</v>
      </c>
      <c r="N21" s="13">
        <v>56801</v>
      </c>
      <c r="O21" s="13">
        <v>0</v>
      </c>
      <c r="P21" s="14">
        <f t="shared" si="12"/>
        <v>74239</v>
      </c>
      <c r="Q21" s="13">
        <f t="shared" si="1"/>
        <v>70030</v>
      </c>
      <c r="R21" s="13">
        <f t="shared" si="2"/>
        <v>74240</v>
      </c>
      <c r="S21" s="13">
        <f t="shared" si="3"/>
        <v>4210</v>
      </c>
      <c r="T21" s="13">
        <f t="shared" si="4"/>
        <v>1</v>
      </c>
      <c r="U21" s="13">
        <f t="shared" si="5"/>
        <v>70029</v>
      </c>
      <c r="V21" s="256">
        <f t="shared" si="13"/>
        <v>0</v>
      </c>
    </row>
    <row r="22" spans="1:22" s="255" customFormat="1" ht="20.149999999999999" customHeight="1" outlineLevel="1" x14ac:dyDescent="0.55000000000000004">
      <c r="A22" s="261"/>
      <c r="B22" s="545" t="s">
        <v>25</v>
      </c>
      <c r="C22" s="14">
        <f>SUM(F22,H22)</f>
        <v>19001</v>
      </c>
      <c r="D22" s="13">
        <f>SUM(G22,H22)</f>
        <v>16994</v>
      </c>
      <c r="E22" s="13">
        <f>SUM(F22:H22)</f>
        <v>19001</v>
      </c>
      <c r="F22" s="13">
        <v>2007</v>
      </c>
      <c r="G22" s="13">
        <v>0</v>
      </c>
      <c r="H22" s="257">
        <v>16994</v>
      </c>
      <c r="I22" s="13">
        <f t="shared" si="9"/>
        <v>79870</v>
      </c>
      <c r="J22" s="13">
        <f t="shared" si="10"/>
        <v>76410</v>
      </c>
      <c r="K22" s="13">
        <f t="shared" si="11"/>
        <v>79870</v>
      </c>
      <c r="L22" s="13">
        <v>3460</v>
      </c>
      <c r="M22" s="13">
        <v>0</v>
      </c>
      <c r="N22" s="13">
        <v>76410</v>
      </c>
      <c r="O22" s="13">
        <v>0</v>
      </c>
      <c r="P22" s="14">
        <f t="shared" si="12"/>
        <v>98871</v>
      </c>
      <c r="Q22" s="13">
        <f t="shared" si="1"/>
        <v>93404</v>
      </c>
      <c r="R22" s="13">
        <f t="shared" si="2"/>
        <v>98871</v>
      </c>
      <c r="S22" s="13">
        <f t="shared" si="3"/>
        <v>5467</v>
      </c>
      <c r="T22" s="13">
        <f t="shared" si="4"/>
        <v>0</v>
      </c>
      <c r="U22" s="13">
        <f t="shared" si="5"/>
        <v>93404</v>
      </c>
      <c r="V22" s="256">
        <f t="shared" si="13"/>
        <v>0</v>
      </c>
    </row>
    <row r="23" spans="1:22" s="255" customFormat="1" ht="20.149999999999999" customHeight="1" outlineLevel="1" x14ac:dyDescent="0.55000000000000004">
      <c r="A23" s="261"/>
      <c r="B23" s="545" t="s">
        <v>26</v>
      </c>
      <c r="C23" s="14">
        <f t="shared" ref="C23:C24" si="14">SUM(F23,H23)</f>
        <v>21877</v>
      </c>
      <c r="D23" s="13">
        <f t="shared" ref="D23:D24" si="15">SUM(G23,H23)</f>
        <v>19752</v>
      </c>
      <c r="E23" s="13">
        <f>SUM(F23:H23)</f>
        <v>21877</v>
      </c>
      <c r="F23" s="13">
        <v>2125</v>
      </c>
      <c r="G23" s="13">
        <v>0</v>
      </c>
      <c r="H23" s="257">
        <v>19752</v>
      </c>
      <c r="I23" s="13">
        <f t="shared" si="9"/>
        <v>92992</v>
      </c>
      <c r="J23" s="13">
        <f t="shared" si="10"/>
        <v>89030</v>
      </c>
      <c r="K23" s="13">
        <f t="shared" si="11"/>
        <v>92992</v>
      </c>
      <c r="L23" s="13">
        <v>3962</v>
      </c>
      <c r="M23" s="13">
        <v>0</v>
      </c>
      <c r="N23" s="13">
        <v>89030</v>
      </c>
      <c r="O23" s="13">
        <v>0</v>
      </c>
      <c r="P23" s="14">
        <f t="shared" si="12"/>
        <v>114869</v>
      </c>
      <c r="Q23" s="13">
        <f t="shared" si="1"/>
        <v>108782</v>
      </c>
      <c r="R23" s="13">
        <f t="shared" si="2"/>
        <v>114869</v>
      </c>
      <c r="S23" s="13">
        <f t="shared" si="3"/>
        <v>6087</v>
      </c>
      <c r="T23" s="13">
        <f t="shared" si="4"/>
        <v>0</v>
      </c>
      <c r="U23" s="13">
        <f t="shared" si="5"/>
        <v>108782</v>
      </c>
      <c r="V23" s="256">
        <f t="shared" si="13"/>
        <v>0</v>
      </c>
    </row>
    <row r="24" spans="1:22" s="255" customFormat="1" ht="20.149999999999999" customHeight="1" outlineLevel="1" x14ac:dyDescent="0.55000000000000004">
      <c r="A24" s="261"/>
      <c r="B24" s="546" t="s">
        <v>27</v>
      </c>
      <c r="C24" s="258">
        <f t="shared" si="14"/>
        <v>0</v>
      </c>
      <c r="D24" s="259">
        <f t="shared" si="15"/>
        <v>0</v>
      </c>
      <c r="E24" s="259">
        <f>SUM(F24:H24)</f>
        <v>0</v>
      </c>
      <c r="F24" s="259">
        <v>0</v>
      </c>
      <c r="G24" s="259">
        <v>0</v>
      </c>
      <c r="H24" s="260">
        <v>0</v>
      </c>
      <c r="I24" s="258">
        <f>SUM(L24,N24)</f>
        <v>0</v>
      </c>
      <c r="J24" s="259">
        <f>SUM(M24,N24)</f>
        <v>0</v>
      </c>
      <c r="K24" s="259">
        <f>SUM(L24:O24)</f>
        <v>4227</v>
      </c>
      <c r="L24" s="259">
        <v>0</v>
      </c>
      <c r="M24" s="259">
        <v>0</v>
      </c>
      <c r="N24" s="259">
        <v>0</v>
      </c>
      <c r="O24" s="266">
        <v>4227</v>
      </c>
      <c r="P24" s="258">
        <f t="shared" si="12"/>
        <v>0</v>
      </c>
      <c r="Q24" s="259">
        <f t="shared" si="1"/>
        <v>0</v>
      </c>
      <c r="R24" s="259">
        <f t="shared" si="2"/>
        <v>4227</v>
      </c>
      <c r="S24" s="259">
        <f t="shared" si="3"/>
        <v>0</v>
      </c>
      <c r="T24" s="259">
        <f t="shared" si="4"/>
        <v>0</v>
      </c>
      <c r="U24" s="259">
        <f t="shared" si="5"/>
        <v>0</v>
      </c>
      <c r="V24" s="260">
        <f t="shared" si="13"/>
        <v>4227</v>
      </c>
    </row>
    <row r="25" spans="1:22" ht="20.149999999999999" customHeight="1" x14ac:dyDescent="0.3">
      <c r="B25" s="540" t="s">
        <v>1109</v>
      </c>
      <c r="C25" s="258">
        <f t="shared" ref="C25:V25" si="16">SUM(C27:C36)</f>
        <v>156511</v>
      </c>
      <c r="D25" s="259">
        <f t="shared" si="16"/>
        <v>139628</v>
      </c>
      <c r="E25" s="259">
        <f t="shared" si="16"/>
        <v>156511</v>
      </c>
      <c r="F25" s="259">
        <f t="shared" si="16"/>
        <v>16883</v>
      </c>
      <c r="G25" s="259">
        <f t="shared" si="16"/>
        <v>0</v>
      </c>
      <c r="H25" s="260">
        <f t="shared" si="16"/>
        <v>139628</v>
      </c>
      <c r="I25" s="259">
        <f t="shared" si="16"/>
        <v>574640</v>
      </c>
      <c r="J25" s="259">
        <f t="shared" si="16"/>
        <v>551579</v>
      </c>
      <c r="K25" s="259">
        <f t="shared" si="16"/>
        <v>578521</v>
      </c>
      <c r="L25" s="259">
        <f t="shared" si="16"/>
        <v>23061</v>
      </c>
      <c r="M25" s="259">
        <f t="shared" si="16"/>
        <v>0</v>
      </c>
      <c r="N25" s="259">
        <f t="shared" si="16"/>
        <v>551579</v>
      </c>
      <c r="O25" s="259">
        <f t="shared" si="16"/>
        <v>3881</v>
      </c>
      <c r="P25" s="258">
        <f t="shared" si="16"/>
        <v>731151</v>
      </c>
      <c r="Q25" s="259">
        <f t="shared" si="16"/>
        <v>691207</v>
      </c>
      <c r="R25" s="259">
        <f t="shared" si="16"/>
        <v>735032</v>
      </c>
      <c r="S25" s="259">
        <f t="shared" si="16"/>
        <v>39944</v>
      </c>
      <c r="T25" s="259">
        <f t="shared" si="16"/>
        <v>0</v>
      </c>
      <c r="U25" s="259">
        <f t="shared" si="16"/>
        <v>691207</v>
      </c>
      <c r="V25" s="260">
        <f t="shared" si="16"/>
        <v>3881</v>
      </c>
    </row>
    <row r="26" spans="1:22" ht="20.149999999999999" customHeight="1" x14ac:dyDescent="0.3">
      <c r="B26" s="548" t="s">
        <v>1101</v>
      </c>
      <c r="C26" s="543"/>
      <c r="D26" s="543"/>
      <c r="E26" s="543"/>
      <c r="F26" s="543"/>
      <c r="G26" s="543"/>
      <c r="H26" s="543"/>
      <c r="I26" s="543"/>
      <c r="J26" s="543"/>
      <c r="K26" s="543"/>
      <c r="L26" s="543"/>
      <c r="M26" s="543"/>
      <c r="N26" s="543"/>
      <c r="O26" s="543"/>
      <c r="P26" s="543"/>
      <c r="Q26" s="543"/>
      <c r="R26" s="543"/>
      <c r="S26" s="543"/>
      <c r="T26" s="543"/>
      <c r="U26" s="543"/>
      <c r="V26" s="542"/>
    </row>
    <row r="27" spans="1:22" s="255" customFormat="1" ht="20.149999999999999" hidden="1" customHeight="1" outlineLevel="1" x14ac:dyDescent="0.55000000000000004">
      <c r="A27" s="34"/>
      <c r="B27" s="544" t="s">
        <v>18</v>
      </c>
      <c r="C27" s="12">
        <f>SUM(F27,H27)</f>
        <v>23278</v>
      </c>
      <c r="D27" s="11">
        <f>SUM(G27,H27)</f>
        <v>21101</v>
      </c>
      <c r="E27" s="11">
        <f>SUM(F27:H27)</f>
        <v>23278</v>
      </c>
      <c r="F27" s="11">
        <v>2177</v>
      </c>
      <c r="G27" s="11">
        <v>0</v>
      </c>
      <c r="H27" s="256">
        <v>21101</v>
      </c>
      <c r="I27" s="11">
        <f>SUM(L27,N27)</f>
        <v>83268</v>
      </c>
      <c r="J27" s="11">
        <f>SUM(M27,N27)</f>
        <v>80353</v>
      </c>
      <c r="K27" s="11">
        <f>SUM(L27:N27)</f>
        <v>83268</v>
      </c>
      <c r="L27" s="11">
        <v>2915</v>
      </c>
      <c r="M27" s="11">
        <v>0</v>
      </c>
      <c r="N27" s="11">
        <v>80353</v>
      </c>
      <c r="O27" s="11">
        <v>0</v>
      </c>
      <c r="P27" s="12">
        <f>C27+I27</f>
        <v>106546</v>
      </c>
      <c r="Q27" s="11">
        <f t="shared" ref="Q27:Q36" si="17">D27+J27</f>
        <v>101454</v>
      </c>
      <c r="R27" s="11">
        <f t="shared" ref="R27:R36" si="18">E27+K27</f>
        <v>106546</v>
      </c>
      <c r="S27" s="11">
        <f t="shared" ref="S27:S36" si="19">F27+L27</f>
        <v>5092</v>
      </c>
      <c r="T27" s="11">
        <f t="shared" ref="T27:T36" si="20">G27+M27</f>
        <v>0</v>
      </c>
      <c r="U27" s="11">
        <f t="shared" ref="U27:U36" si="21">H27+N27</f>
        <v>101454</v>
      </c>
      <c r="V27" s="256">
        <f>O27</f>
        <v>0</v>
      </c>
    </row>
    <row r="28" spans="1:22" s="255" customFormat="1" ht="20.149999999999999" hidden="1" customHeight="1" outlineLevel="1" x14ac:dyDescent="0.55000000000000004">
      <c r="A28" s="34"/>
      <c r="B28" s="545" t="s">
        <v>19</v>
      </c>
      <c r="C28" s="14">
        <f t="shared" ref="C28:C33" si="22">SUM(F28,H28)</f>
        <v>14713</v>
      </c>
      <c r="D28" s="13">
        <f t="shared" ref="D28:D33" si="23">SUM(G28,H28)</f>
        <v>13134</v>
      </c>
      <c r="E28" s="13">
        <f t="shared" ref="E28:E33" si="24">SUM(F28:H28)</f>
        <v>14713</v>
      </c>
      <c r="F28" s="13">
        <v>1579</v>
      </c>
      <c r="G28" s="13">
        <v>0</v>
      </c>
      <c r="H28" s="257">
        <v>13134</v>
      </c>
      <c r="I28" s="13">
        <f t="shared" ref="I28:I35" si="25">SUM(L28,N28)</f>
        <v>50548</v>
      </c>
      <c r="J28" s="13">
        <f t="shared" ref="J28:J35" si="26">SUM(M28,N28)</f>
        <v>48698</v>
      </c>
      <c r="K28" s="13">
        <f t="shared" ref="K28:K35" si="27">SUM(L28:N28)</f>
        <v>50548</v>
      </c>
      <c r="L28" s="13">
        <v>1850</v>
      </c>
      <c r="M28" s="13">
        <v>0</v>
      </c>
      <c r="N28" s="13">
        <v>48698</v>
      </c>
      <c r="O28" s="13">
        <v>0</v>
      </c>
      <c r="P28" s="14">
        <f t="shared" ref="P28:P36" si="28">C28+I28</f>
        <v>65261</v>
      </c>
      <c r="Q28" s="13">
        <f t="shared" si="17"/>
        <v>61832</v>
      </c>
      <c r="R28" s="13">
        <f t="shared" si="18"/>
        <v>65261</v>
      </c>
      <c r="S28" s="13">
        <f t="shared" si="19"/>
        <v>3429</v>
      </c>
      <c r="T28" s="13">
        <f t="shared" si="20"/>
        <v>0</v>
      </c>
      <c r="U28" s="13">
        <f t="shared" si="21"/>
        <v>61832</v>
      </c>
      <c r="V28" s="256">
        <f t="shared" ref="V28:V36" si="29">O28</f>
        <v>0</v>
      </c>
    </row>
    <row r="29" spans="1:22" s="255" customFormat="1" ht="20.149999999999999" hidden="1" customHeight="1" outlineLevel="1" x14ac:dyDescent="0.55000000000000004">
      <c r="A29" s="261"/>
      <c r="B29" s="545" t="s">
        <v>20</v>
      </c>
      <c r="C29" s="14">
        <f t="shared" si="22"/>
        <v>21069</v>
      </c>
      <c r="D29" s="13">
        <f t="shared" si="23"/>
        <v>18175</v>
      </c>
      <c r="E29" s="13">
        <f t="shared" si="24"/>
        <v>21069</v>
      </c>
      <c r="F29" s="13">
        <v>2894</v>
      </c>
      <c r="G29" s="13">
        <v>0</v>
      </c>
      <c r="H29" s="257">
        <v>18175</v>
      </c>
      <c r="I29" s="13">
        <f t="shared" si="25"/>
        <v>53864</v>
      </c>
      <c r="J29" s="13">
        <f t="shared" si="26"/>
        <v>52256</v>
      </c>
      <c r="K29" s="13">
        <f t="shared" si="27"/>
        <v>53864</v>
      </c>
      <c r="L29" s="13">
        <v>1608</v>
      </c>
      <c r="M29" s="13">
        <v>0</v>
      </c>
      <c r="N29" s="13">
        <v>52256</v>
      </c>
      <c r="O29" s="13">
        <v>0</v>
      </c>
      <c r="P29" s="14">
        <f t="shared" si="28"/>
        <v>74933</v>
      </c>
      <c r="Q29" s="13">
        <f t="shared" si="17"/>
        <v>70431</v>
      </c>
      <c r="R29" s="13">
        <f t="shared" si="18"/>
        <v>74933</v>
      </c>
      <c r="S29" s="13">
        <f t="shared" si="19"/>
        <v>4502</v>
      </c>
      <c r="T29" s="13">
        <f t="shared" si="20"/>
        <v>0</v>
      </c>
      <c r="U29" s="13">
        <f t="shared" si="21"/>
        <v>70431</v>
      </c>
      <c r="V29" s="256">
        <f t="shared" si="29"/>
        <v>0</v>
      </c>
    </row>
    <row r="30" spans="1:22" s="255" customFormat="1" ht="20.149999999999999" hidden="1" customHeight="1" outlineLevel="1" x14ac:dyDescent="0.55000000000000004">
      <c r="A30" s="261"/>
      <c r="B30" s="545" t="s">
        <v>21</v>
      </c>
      <c r="C30" s="14">
        <f t="shared" si="22"/>
        <v>12905</v>
      </c>
      <c r="D30" s="13">
        <f t="shared" si="23"/>
        <v>11563</v>
      </c>
      <c r="E30" s="13">
        <f t="shared" si="24"/>
        <v>12905</v>
      </c>
      <c r="F30" s="13">
        <v>1342</v>
      </c>
      <c r="G30" s="13">
        <v>0</v>
      </c>
      <c r="H30" s="257">
        <v>11563</v>
      </c>
      <c r="I30" s="13">
        <f t="shared" si="25"/>
        <v>39567</v>
      </c>
      <c r="J30" s="13">
        <f t="shared" si="26"/>
        <v>38075</v>
      </c>
      <c r="K30" s="13">
        <f t="shared" si="27"/>
        <v>39567</v>
      </c>
      <c r="L30" s="13">
        <v>1492</v>
      </c>
      <c r="M30" s="13">
        <v>0</v>
      </c>
      <c r="N30" s="13">
        <v>38075</v>
      </c>
      <c r="O30" s="13">
        <v>0</v>
      </c>
      <c r="P30" s="14">
        <f t="shared" si="28"/>
        <v>52472</v>
      </c>
      <c r="Q30" s="13">
        <f t="shared" si="17"/>
        <v>49638</v>
      </c>
      <c r="R30" s="13">
        <f t="shared" si="18"/>
        <v>52472</v>
      </c>
      <c r="S30" s="13">
        <f t="shared" si="19"/>
        <v>2834</v>
      </c>
      <c r="T30" s="13">
        <f t="shared" si="20"/>
        <v>0</v>
      </c>
      <c r="U30" s="13">
        <f t="shared" si="21"/>
        <v>49638</v>
      </c>
      <c r="V30" s="256">
        <f t="shared" si="29"/>
        <v>0</v>
      </c>
    </row>
    <row r="31" spans="1:22" s="255" customFormat="1" ht="20.149999999999999" hidden="1" customHeight="1" outlineLevel="1" x14ac:dyDescent="0.55000000000000004">
      <c r="A31" s="261"/>
      <c r="B31" s="545" t="s">
        <v>22</v>
      </c>
      <c r="C31" s="14">
        <f t="shared" si="22"/>
        <v>10254</v>
      </c>
      <c r="D31" s="13">
        <f t="shared" si="23"/>
        <v>9044</v>
      </c>
      <c r="E31" s="13">
        <f t="shared" si="24"/>
        <v>10254</v>
      </c>
      <c r="F31" s="13">
        <v>1210</v>
      </c>
      <c r="G31" s="13">
        <v>0</v>
      </c>
      <c r="H31" s="257">
        <v>9044</v>
      </c>
      <c r="I31" s="13">
        <f t="shared" si="25"/>
        <v>31923</v>
      </c>
      <c r="J31" s="13">
        <f t="shared" si="26"/>
        <v>30479</v>
      </c>
      <c r="K31" s="13">
        <f t="shared" si="27"/>
        <v>31923</v>
      </c>
      <c r="L31" s="13">
        <v>1444</v>
      </c>
      <c r="M31" s="13">
        <v>0</v>
      </c>
      <c r="N31" s="13">
        <v>30479</v>
      </c>
      <c r="O31" s="13">
        <v>0</v>
      </c>
      <c r="P31" s="14">
        <f t="shared" si="28"/>
        <v>42177</v>
      </c>
      <c r="Q31" s="13">
        <f t="shared" si="17"/>
        <v>39523</v>
      </c>
      <c r="R31" s="13">
        <f t="shared" si="18"/>
        <v>42177</v>
      </c>
      <c r="S31" s="13">
        <f t="shared" si="19"/>
        <v>2654</v>
      </c>
      <c r="T31" s="13">
        <f t="shared" si="20"/>
        <v>0</v>
      </c>
      <c r="U31" s="13">
        <f t="shared" si="21"/>
        <v>39523</v>
      </c>
      <c r="V31" s="256">
        <f t="shared" si="29"/>
        <v>0</v>
      </c>
    </row>
    <row r="32" spans="1:22" s="255" customFormat="1" ht="20.149999999999999" hidden="1" customHeight="1" outlineLevel="1" x14ac:dyDescent="0.55000000000000004">
      <c r="A32" s="261"/>
      <c r="B32" s="545" t="s">
        <v>23</v>
      </c>
      <c r="C32" s="14">
        <f t="shared" si="22"/>
        <v>14840</v>
      </c>
      <c r="D32" s="13">
        <f t="shared" si="23"/>
        <v>13267</v>
      </c>
      <c r="E32" s="13">
        <f t="shared" si="24"/>
        <v>14840</v>
      </c>
      <c r="F32" s="13">
        <v>1573</v>
      </c>
      <c r="G32" s="13">
        <v>0</v>
      </c>
      <c r="H32" s="257">
        <v>13267</v>
      </c>
      <c r="I32" s="13">
        <f t="shared" si="25"/>
        <v>59588</v>
      </c>
      <c r="J32" s="13">
        <f t="shared" si="26"/>
        <v>56980</v>
      </c>
      <c r="K32" s="13">
        <f t="shared" si="27"/>
        <v>59588</v>
      </c>
      <c r="L32" s="13">
        <v>2608</v>
      </c>
      <c r="M32" s="13">
        <v>0</v>
      </c>
      <c r="N32" s="13">
        <v>56980</v>
      </c>
      <c r="O32" s="13">
        <v>0</v>
      </c>
      <c r="P32" s="14">
        <f t="shared" si="28"/>
        <v>74428</v>
      </c>
      <c r="Q32" s="13">
        <f t="shared" si="17"/>
        <v>70247</v>
      </c>
      <c r="R32" s="13">
        <f t="shared" si="18"/>
        <v>74428</v>
      </c>
      <c r="S32" s="13">
        <f t="shared" si="19"/>
        <v>4181</v>
      </c>
      <c r="T32" s="13">
        <f t="shared" si="20"/>
        <v>0</v>
      </c>
      <c r="U32" s="13">
        <f t="shared" si="21"/>
        <v>70247</v>
      </c>
      <c r="V32" s="256">
        <f t="shared" si="29"/>
        <v>0</v>
      </c>
    </row>
    <row r="33" spans="1:22" s="255" customFormat="1" ht="20.149999999999999" hidden="1" customHeight="1" outlineLevel="1" x14ac:dyDescent="0.55000000000000004">
      <c r="A33" s="261"/>
      <c r="B33" s="545" t="s">
        <v>24</v>
      </c>
      <c r="C33" s="14">
        <f t="shared" si="22"/>
        <v>18951</v>
      </c>
      <c r="D33" s="13">
        <f t="shared" si="23"/>
        <v>16992</v>
      </c>
      <c r="E33" s="13">
        <f t="shared" si="24"/>
        <v>18951</v>
      </c>
      <c r="F33" s="13">
        <v>1959</v>
      </c>
      <c r="G33" s="13">
        <v>0</v>
      </c>
      <c r="H33" s="257">
        <v>16992</v>
      </c>
      <c r="I33" s="13">
        <f t="shared" si="25"/>
        <v>80188</v>
      </c>
      <c r="J33" s="13">
        <f t="shared" si="26"/>
        <v>76671</v>
      </c>
      <c r="K33" s="13">
        <f t="shared" si="27"/>
        <v>80188</v>
      </c>
      <c r="L33" s="13">
        <v>3517</v>
      </c>
      <c r="M33" s="13">
        <v>0</v>
      </c>
      <c r="N33" s="13">
        <v>76671</v>
      </c>
      <c r="O33" s="13">
        <v>0</v>
      </c>
      <c r="P33" s="14">
        <f t="shared" si="28"/>
        <v>99139</v>
      </c>
      <c r="Q33" s="13">
        <f t="shared" si="17"/>
        <v>93663</v>
      </c>
      <c r="R33" s="13">
        <f t="shared" si="18"/>
        <v>99139</v>
      </c>
      <c r="S33" s="13">
        <f t="shared" si="19"/>
        <v>5476</v>
      </c>
      <c r="T33" s="13">
        <f t="shared" si="20"/>
        <v>0</v>
      </c>
      <c r="U33" s="13">
        <f t="shared" si="21"/>
        <v>93663</v>
      </c>
      <c r="V33" s="256">
        <f t="shared" si="29"/>
        <v>0</v>
      </c>
    </row>
    <row r="34" spans="1:22" s="255" customFormat="1" ht="20.149999999999999" hidden="1" customHeight="1" outlineLevel="1" x14ac:dyDescent="0.55000000000000004">
      <c r="A34" s="261"/>
      <c r="B34" s="545" t="s">
        <v>25</v>
      </c>
      <c r="C34" s="14">
        <f>SUM(F34,H34)</f>
        <v>18888</v>
      </c>
      <c r="D34" s="13">
        <f>SUM(G34,H34)</f>
        <v>16888</v>
      </c>
      <c r="E34" s="13">
        <f>SUM(F34:H34)</f>
        <v>18888</v>
      </c>
      <c r="F34" s="13">
        <v>2000</v>
      </c>
      <c r="G34" s="13">
        <v>0</v>
      </c>
      <c r="H34" s="257">
        <v>16888</v>
      </c>
      <c r="I34" s="13">
        <f t="shared" si="25"/>
        <v>82564</v>
      </c>
      <c r="J34" s="13">
        <f t="shared" si="26"/>
        <v>78823</v>
      </c>
      <c r="K34" s="13">
        <f t="shared" si="27"/>
        <v>82564</v>
      </c>
      <c r="L34" s="13">
        <v>3741</v>
      </c>
      <c r="M34" s="13">
        <v>0</v>
      </c>
      <c r="N34" s="13">
        <v>78823</v>
      </c>
      <c r="O34" s="13">
        <v>0</v>
      </c>
      <c r="P34" s="14">
        <f t="shared" si="28"/>
        <v>101452</v>
      </c>
      <c r="Q34" s="13">
        <f t="shared" si="17"/>
        <v>95711</v>
      </c>
      <c r="R34" s="13">
        <f t="shared" si="18"/>
        <v>101452</v>
      </c>
      <c r="S34" s="13">
        <f t="shared" si="19"/>
        <v>5741</v>
      </c>
      <c r="T34" s="13">
        <f t="shared" si="20"/>
        <v>0</v>
      </c>
      <c r="U34" s="13">
        <f t="shared" si="21"/>
        <v>95711</v>
      </c>
      <c r="V34" s="256">
        <f t="shared" si="29"/>
        <v>0</v>
      </c>
    </row>
    <row r="35" spans="1:22" s="255" customFormat="1" ht="20.149999999999999" hidden="1" customHeight="1" outlineLevel="1" x14ac:dyDescent="0.55000000000000004">
      <c r="A35" s="261"/>
      <c r="B35" s="545" t="s">
        <v>26</v>
      </c>
      <c r="C35" s="14">
        <f t="shared" ref="C35:C36" si="30">SUM(F35,H35)</f>
        <v>21613</v>
      </c>
      <c r="D35" s="13">
        <f t="shared" ref="D35:D36" si="31">SUM(G35,H35)</f>
        <v>19464</v>
      </c>
      <c r="E35" s="13">
        <f>SUM(F35:H35)</f>
        <v>21613</v>
      </c>
      <c r="F35" s="13">
        <v>2149</v>
      </c>
      <c r="G35" s="13">
        <v>0</v>
      </c>
      <c r="H35" s="257">
        <v>19464</v>
      </c>
      <c r="I35" s="13">
        <f t="shared" si="25"/>
        <v>93130</v>
      </c>
      <c r="J35" s="13">
        <f t="shared" si="26"/>
        <v>89244</v>
      </c>
      <c r="K35" s="13">
        <f t="shared" si="27"/>
        <v>93130</v>
      </c>
      <c r="L35" s="13">
        <v>3886</v>
      </c>
      <c r="M35" s="13">
        <v>0</v>
      </c>
      <c r="N35" s="13">
        <v>89244</v>
      </c>
      <c r="O35" s="13">
        <v>0</v>
      </c>
      <c r="P35" s="14">
        <f t="shared" si="28"/>
        <v>114743</v>
      </c>
      <c r="Q35" s="13">
        <f t="shared" si="17"/>
        <v>108708</v>
      </c>
      <c r="R35" s="13">
        <f t="shared" si="18"/>
        <v>114743</v>
      </c>
      <c r="S35" s="13">
        <f t="shared" si="19"/>
        <v>6035</v>
      </c>
      <c r="T35" s="13">
        <f t="shared" si="20"/>
        <v>0</v>
      </c>
      <c r="U35" s="13">
        <f t="shared" si="21"/>
        <v>108708</v>
      </c>
      <c r="V35" s="256">
        <f t="shared" si="29"/>
        <v>0</v>
      </c>
    </row>
    <row r="36" spans="1:22" s="255" customFormat="1" ht="20.149999999999999" hidden="1" customHeight="1" outlineLevel="1" x14ac:dyDescent="0.55000000000000004">
      <c r="A36" s="261"/>
      <c r="B36" s="546" t="s">
        <v>27</v>
      </c>
      <c r="C36" s="258">
        <f t="shared" si="30"/>
        <v>0</v>
      </c>
      <c r="D36" s="259">
        <f t="shared" si="31"/>
        <v>0</v>
      </c>
      <c r="E36" s="259">
        <f>SUM(F36:H36)</f>
        <v>0</v>
      </c>
      <c r="F36" s="259">
        <v>0</v>
      </c>
      <c r="G36" s="259">
        <v>0</v>
      </c>
      <c r="H36" s="260">
        <v>0</v>
      </c>
      <c r="I36" s="258">
        <f>SUM(L36,N36)</f>
        <v>0</v>
      </c>
      <c r="J36" s="259">
        <f>SUM(M36,N36)</f>
        <v>0</v>
      </c>
      <c r="K36" s="259">
        <f>SUM(L36:O36)</f>
        <v>3881</v>
      </c>
      <c r="L36" s="259">
        <v>0</v>
      </c>
      <c r="M36" s="259">
        <v>0</v>
      </c>
      <c r="N36" s="259">
        <v>0</v>
      </c>
      <c r="O36" s="266">
        <v>3881</v>
      </c>
      <c r="P36" s="258">
        <f t="shared" si="28"/>
        <v>0</v>
      </c>
      <c r="Q36" s="259">
        <f t="shared" si="17"/>
        <v>0</v>
      </c>
      <c r="R36" s="259">
        <f t="shared" si="18"/>
        <v>3881</v>
      </c>
      <c r="S36" s="259">
        <f t="shared" si="19"/>
        <v>0</v>
      </c>
      <c r="T36" s="259">
        <f t="shared" si="20"/>
        <v>0</v>
      </c>
      <c r="U36" s="259">
        <f t="shared" si="21"/>
        <v>0</v>
      </c>
      <c r="V36" s="260">
        <f t="shared" si="29"/>
        <v>3881</v>
      </c>
    </row>
    <row r="37" spans="1:22" ht="20.149999999999999" customHeight="1" collapsed="1" x14ac:dyDescent="0.3">
      <c r="B37" s="540" t="s">
        <v>1098</v>
      </c>
      <c r="C37" s="258">
        <f t="shared" ref="C37:V37" si="32">SUM(C39:C48)</f>
        <v>151186</v>
      </c>
      <c r="D37" s="259">
        <f t="shared" si="32"/>
        <v>134255</v>
      </c>
      <c r="E37" s="259">
        <f t="shared" si="32"/>
        <v>151186</v>
      </c>
      <c r="F37" s="259">
        <f t="shared" si="32"/>
        <v>16931</v>
      </c>
      <c r="G37" s="259">
        <f t="shared" si="32"/>
        <v>0</v>
      </c>
      <c r="H37" s="260">
        <f t="shared" si="32"/>
        <v>134255</v>
      </c>
      <c r="I37" s="259">
        <f t="shared" si="32"/>
        <v>574644</v>
      </c>
      <c r="J37" s="259">
        <f t="shared" si="32"/>
        <v>551565</v>
      </c>
      <c r="K37" s="259">
        <f t="shared" si="32"/>
        <v>578936</v>
      </c>
      <c r="L37" s="259">
        <f t="shared" si="32"/>
        <v>23079</v>
      </c>
      <c r="M37" s="259">
        <f t="shared" si="32"/>
        <v>0</v>
      </c>
      <c r="N37" s="259">
        <f t="shared" si="32"/>
        <v>551565</v>
      </c>
      <c r="O37" s="259">
        <f t="shared" si="32"/>
        <v>4292</v>
      </c>
      <c r="P37" s="258">
        <f t="shared" si="32"/>
        <v>725830</v>
      </c>
      <c r="Q37" s="259">
        <f t="shared" si="32"/>
        <v>685820</v>
      </c>
      <c r="R37" s="259">
        <f t="shared" si="32"/>
        <v>730122</v>
      </c>
      <c r="S37" s="259">
        <f t="shared" si="32"/>
        <v>40010</v>
      </c>
      <c r="T37" s="259">
        <f t="shared" si="32"/>
        <v>0</v>
      </c>
      <c r="U37" s="259">
        <f t="shared" si="32"/>
        <v>685820</v>
      </c>
      <c r="V37" s="260">
        <f t="shared" si="32"/>
        <v>4292</v>
      </c>
    </row>
    <row r="38" spans="1:22" ht="20.149999999999999" customHeight="1" x14ac:dyDescent="0.3">
      <c r="B38" s="548" t="s">
        <v>1102</v>
      </c>
      <c r="C38" s="543"/>
      <c r="D38" s="543"/>
      <c r="E38" s="543"/>
      <c r="F38" s="543"/>
      <c r="G38" s="543"/>
      <c r="H38" s="543"/>
      <c r="I38" s="543"/>
      <c r="J38" s="543"/>
      <c r="K38" s="543"/>
      <c r="L38" s="543"/>
      <c r="M38" s="543"/>
      <c r="N38" s="543"/>
      <c r="O38" s="543"/>
      <c r="P38" s="543"/>
      <c r="Q38" s="543"/>
      <c r="R38" s="543"/>
      <c r="S38" s="543"/>
      <c r="T38" s="543"/>
      <c r="U38" s="543"/>
      <c r="V38" s="542"/>
    </row>
    <row r="39" spans="1:22" s="255" customFormat="1" ht="20.149999999999999" hidden="1" customHeight="1" outlineLevel="1" x14ac:dyDescent="0.55000000000000004">
      <c r="A39" s="34"/>
      <c r="B39" s="544" t="s">
        <v>18</v>
      </c>
      <c r="C39" s="12">
        <f>SUM(F39,H39)</f>
        <v>22506</v>
      </c>
      <c r="D39" s="11">
        <f>SUM(G39,H39)</f>
        <v>20343</v>
      </c>
      <c r="E39" s="11">
        <f>SUM(F39:H39)</f>
        <v>22506</v>
      </c>
      <c r="F39" s="11">
        <v>2163</v>
      </c>
      <c r="G39" s="11">
        <v>0</v>
      </c>
      <c r="H39" s="256">
        <v>20343</v>
      </c>
      <c r="I39" s="11">
        <f>SUM(L39,N39)</f>
        <v>16218</v>
      </c>
      <c r="J39" s="11">
        <f>SUM(M39,N39)</f>
        <v>14442</v>
      </c>
      <c r="K39" s="11">
        <f>SUM(L39:N39)</f>
        <v>16218</v>
      </c>
      <c r="L39" s="11">
        <v>1776</v>
      </c>
      <c r="M39" s="11">
        <v>0</v>
      </c>
      <c r="N39" s="11">
        <v>14442</v>
      </c>
      <c r="O39" s="11">
        <v>0</v>
      </c>
      <c r="P39" s="12">
        <f>C39+I39</f>
        <v>38724</v>
      </c>
      <c r="Q39" s="11">
        <f t="shared" ref="Q39:U48" si="33">D39+J39</f>
        <v>34785</v>
      </c>
      <c r="R39" s="11">
        <f t="shared" si="33"/>
        <v>38724</v>
      </c>
      <c r="S39" s="11">
        <f t="shared" si="33"/>
        <v>3939</v>
      </c>
      <c r="T39" s="11">
        <f t="shared" si="33"/>
        <v>0</v>
      </c>
      <c r="U39" s="11">
        <f t="shared" si="33"/>
        <v>34785</v>
      </c>
      <c r="V39" s="256">
        <f>O39</f>
        <v>0</v>
      </c>
    </row>
    <row r="40" spans="1:22" s="255" customFormat="1" ht="20.149999999999999" hidden="1" customHeight="1" outlineLevel="1" x14ac:dyDescent="0.55000000000000004">
      <c r="A40" s="34"/>
      <c r="B40" s="545" t="s">
        <v>19</v>
      </c>
      <c r="C40" s="14">
        <f t="shared" ref="C40:C48" si="34">SUM(F40,H40)</f>
        <v>14292</v>
      </c>
      <c r="D40" s="13">
        <f t="shared" ref="D40:D48" si="35">SUM(G40,H40)</f>
        <v>12686</v>
      </c>
      <c r="E40" s="13">
        <f t="shared" ref="E40:E45" si="36">SUM(F40:H40)</f>
        <v>14292</v>
      </c>
      <c r="F40" s="13">
        <v>1606</v>
      </c>
      <c r="G40" s="13">
        <v>0</v>
      </c>
      <c r="H40" s="257">
        <v>12686</v>
      </c>
      <c r="I40" s="13">
        <f t="shared" ref="I40:I47" si="37">SUM(L40,N40)</f>
        <v>9170</v>
      </c>
      <c r="J40" s="13">
        <f t="shared" ref="J40:J47" si="38">SUM(M40,N40)</f>
        <v>8085</v>
      </c>
      <c r="K40" s="13">
        <f t="shared" ref="K40:K47" si="39">SUM(L40:N40)</f>
        <v>9170</v>
      </c>
      <c r="L40" s="13">
        <v>1085</v>
      </c>
      <c r="M40" s="13">
        <v>0</v>
      </c>
      <c r="N40" s="13">
        <v>8085</v>
      </c>
      <c r="O40" s="13">
        <v>0</v>
      </c>
      <c r="P40" s="14">
        <f t="shared" ref="P40:P48" si="40">C40+I40</f>
        <v>23462</v>
      </c>
      <c r="Q40" s="13">
        <f t="shared" si="33"/>
        <v>20771</v>
      </c>
      <c r="R40" s="13">
        <f t="shared" si="33"/>
        <v>23462</v>
      </c>
      <c r="S40" s="13">
        <f t="shared" si="33"/>
        <v>2691</v>
      </c>
      <c r="T40" s="13">
        <f t="shared" si="33"/>
        <v>0</v>
      </c>
      <c r="U40" s="13">
        <f t="shared" si="33"/>
        <v>20771</v>
      </c>
      <c r="V40" s="256">
        <f t="shared" ref="V40:V47" si="41">O40</f>
        <v>0</v>
      </c>
    </row>
    <row r="41" spans="1:22" s="255" customFormat="1" ht="20.149999999999999" hidden="1" customHeight="1" outlineLevel="1" x14ac:dyDescent="0.55000000000000004">
      <c r="A41" s="261"/>
      <c r="B41" s="545" t="s">
        <v>20</v>
      </c>
      <c r="C41" s="14">
        <f t="shared" si="34"/>
        <v>19554</v>
      </c>
      <c r="D41" s="13">
        <f t="shared" si="35"/>
        <v>16674</v>
      </c>
      <c r="E41" s="13">
        <f t="shared" si="36"/>
        <v>19554</v>
      </c>
      <c r="F41" s="13">
        <v>2880</v>
      </c>
      <c r="G41" s="13">
        <v>0</v>
      </c>
      <c r="H41" s="257">
        <v>16674</v>
      </c>
      <c r="I41" s="13">
        <f t="shared" si="37"/>
        <v>7599</v>
      </c>
      <c r="J41" s="13">
        <f t="shared" si="38"/>
        <v>6713</v>
      </c>
      <c r="K41" s="13">
        <f t="shared" si="39"/>
        <v>7599</v>
      </c>
      <c r="L41" s="13">
        <v>886</v>
      </c>
      <c r="M41" s="13">
        <v>0</v>
      </c>
      <c r="N41" s="13">
        <v>6713</v>
      </c>
      <c r="O41" s="13">
        <v>0</v>
      </c>
      <c r="P41" s="14">
        <f t="shared" si="40"/>
        <v>27153</v>
      </c>
      <c r="Q41" s="13">
        <f t="shared" si="33"/>
        <v>23387</v>
      </c>
      <c r="R41" s="13">
        <f t="shared" si="33"/>
        <v>27153</v>
      </c>
      <c r="S41" s="13">
        <f t="shared" si="33"/>
        <v>3766</v>
      </c>
      <c r="T41" s="13">
        <f t="shared" si="33"/>
        <v>0</v>
      </c>
      <c r="U41" s="13">
        <f t="shared" si="33"/>
        <v>23387</v>
      </c>
      <c r="V41" s="256">
        <f t="shared" si="41"/>
        <v>0</v>
      </c>
    </row>
    <row r="42" spans="1:22" s="255" customFormat="1" ht="20.149999999999999" hidden="1" customHeight="1" outlineLevel="1" x14ac:dyDescent="0.55000000000000004">
      <c r="A42" s="261"/>
      <c r="B42" s="545" t="s">
        <v>21</v>
      </c>
      <c r="C42" s="14">
        <f t="shared" si="34"/>
        <v>11977</v>
      </c>
      <c r="D42" s="13">
        <f t="shared" si="35"/>
        <v>10683</v>
      </c>
      <c r="E42" s="13">
        <f t="shared" si="36"/>
        <v>11977</v>
      </c>
      <c r="F42" s="13">
        <v>1294</v>
      </c>
      <c r="G42" s="13">
        <v>0</v>
      </c>
      <c r="H42" s="257">
        <v>10683</v>
      </c>
      <c r="I42" s="13">
        <f t="shared" si="37"/>
        <v>6459</v>
      </c>
      <c r="J42" s="13">
        <f t="shared" si="38"/>
        <v>5585</v>
      </c>
      <c r="K42" s="13">
        <f t="shared" si="39"/>
        <v>6459</v>
      </c>
      <c r="L42" s="13">
        <v>874</v>
      </c>
      <c r="M42" s="13">
        <v>0</v>
      </c>
      <c r="N42" s="13">
        <v>5585</v>
      </c>
      <c r="O42" s="13">
        <v>0</v>
      </c>
      <c r="P42" s="14">
        <f t="shared" si="40"/>
        <v>18436</v>
      </c>
      <c r="Q42" s="13">
        <f t="shared" si="33"/>
        <v>16268</v>
      </c>
      <c r="R42" s="13">
        <f t="shared" si="33"/>
        <v>18436</v>
      </c>
      <c r="S42" s="13">
        <f t="shared" si="33"/>
        <v>2168</v>
      </c>
      <c r="T42" s="13">
        <f t="shared" si="33"/>
        <v>0</v>
      </c>
      <c r="U42" s="13">
        <f t="shared" si="33"/>
        <v>16268</v>
      </c>
      <c r="V42" s="256">
        <f t="shared" si="41"/>
        <v>0</v>
      </c>
    </row>
    <row r="43" spans="1:22" s="255" customFormat="1" ht="20.149999999999999" hidden="1" customHeight="1" outlineLevel="1" x14ac:dyDescent="0.55000000000000004">
      <c r="A43" s="261"/>
      <c r="B43" s="545" t="s">
        <v>22</v>
      </c>
      <c r="C43" s="14">
        <f t="shared" si="34"/>
        <v>18479</v>
      </c>
      <c r="D43" s="13">
        <f t="shared" si="35"/>
        <v>16464</v>
      </c>
      <c r="E43" s="13">
        <f t="shared" si="36"/>
        <v>18479</v>
      </c>
      <c r="F43" s="13">
        <v>2015</v>
      </c>
      <c r="G43" s="13">
        <v>0</v>
      </c>
      <c r="H43" s="257">
        <v>16464</v>
      </c>
      <c r="I43" s="13">
        <f t="shared" si="37"/>
        <v>21304</v>
      </c>
      <c r="J43" s="13">
        <f t="shared" si="38"/>
        <v>18778</v>
      </c>
      <c r="K43" s="13">
        <f t="shared" si="39"/>
        <v>21304</v>
      </c>
      <c r="L43" s="13">
        <v>2526</v>
      </c>
      <c r="M43" s="13">
        <v>0</v>
      </c>
      <c r="N43" s="13">
        <v>18778</v>
      </c>
      <c r="O43" s="13">
        <v>0</v>
      </c>
      <c r="P43" s="14">
        <f t="shared" si="40"/>
        <v>39783</v>
      </c>
      <c r="Q43" s="13">
        <f t="shared" si="33"/>
        <v>35242</v>
      </c>
      <c r="R43" s="13">
        <f t="shared" si="33"/>
        <v>39783</v>
      </c>
      <c r="S43" s="13">
        <f t="shared" si="33"/>
        <v>4541</v>
      </c>
      <c r="T43" s="13">
        <f t="shared" si="33"/>
        <v>0</v>
      </c>
      <c r="U43" s="13">
        <f t="shared" si="33"/>
        <v>35242</v>
      </c>
      <c r="V43" s="256">
        <f t="shared" si="41"/>
        <v>0</v>
      </c>
    </row>
    <row r="44" spans="1:22" s="255" customFormat="1" ht="20.149999999999999" hidden="1" customHeight="1" outlineLevel="1" x14ac:dyDescent="0.55000000000000004">
      <c r="A44" s="261"/>
      <c r="B44" s="545" t="s">
        <v>23</v>
      </c>
      <c r="C44" s="14">
        <f t="shared" si="34"/>
        <v>9683</v>
      </c>
      <c r="D44" s="13">
        <f t="shared" si="35"/>
        <v>8424</v>
      </c>
      <c r="E44" s="13">
        <f t="shared" si="36"/>
        <v>9683</v>
      </c>
      <c r="F44" s="13">
        <v>1259</v>
      </c>
      <c r="G44" s="13">
        <v>0</v>
      </c>
      <c r="H44" s="257">
        <v>8424</v>
      </c>
      <c r="I44" s="13">
        <f t="shared" si="37"/>
        <v>6481</v>
      </c>
      <c r="J44" s="13">
        <f t="shared" si="38"/>
        <v>5571</v>
      </c>
      <c r="K44" s="13">
        <f t="shared" si="39"/>
        <v>6481</v>
      </c>
      <c r="L44" s="13">
        <v>910</v>
      </c>
      <c r="M44" s="13">
        <v>0</v>
      </c>
      <c r="N44" s="13">
        <v>5571</v>
      </c>
      <c r="O44" s="13">
        <v>0</v>
      </c>
      <c r="P44" s="14">
        <f t="shared" si="40"/>
        <v>16164</v>
      </c>
      <c r="Q44" s="13">
        <f t="shared" si="33"/>
        <v>13995</v>
      </c>
      <c r="R44" s="13">
        <f t="shared" si="33"/>
        <v>16164</v>
      </c>
      <c r="S44" s="13">
        <f t="shared" si="33"/>
        <v>2169</v>
      </c>
      <c r="T44" s="13">
        <f t="shared" si="33"/>
        <v>0</v>
      </c>
      <c r="U44" s="13">
        <f t="shared" si="33"/>
        <v>13995</v>
      </c>
      <c r="V44" s="256">
        <f t="shared" si="41"/>
        <v>0</v>
      </c>
    </row>
    <row r="45" spans="1:22" s="255" customFormat="1" ht="20.149999999999999" hidden="1" customHeight="1" outlineLevel="1" x14ac:dyDescent="0.55000000000000004">
      <c r="A45" s="261"/>
      <c r="B45" s="545" t="s">
        <v>24</v>
      </c>
      <c r="C45" s="14">
        <f t="shared" si="34"/>
        <v>14384</v>
      </c>
      <c r="D45" s="13">
        <f t="shared" si="35"/>
        <v>12798</v>
      </c>
      <c r="E45" s="13">
        <f t="shared" si="36"/>
        <v>14384</v>
      </c>
      <c r="F45" s="13">
        <v>1586</v>
      </c>
      <c r="G45" s="13">
        <v>0</v>
      </c>
      <c r="H45" s="257">
        <v>12798</v>
      </c>
      <c r="I45" s="13">
        <f t="shared" si="37"/>
        <v>15265</v>
      </c>
      <c r="J45" s="13">
        <f t="shared" si="38"/>
        <v>13530</v>
      </c>
      <c r="K45" s="13">
        <f t="shared" si="39"/>
        <v>15265</v>
      </c>
      <c r="L45" s="13">
        <v>1735</v>
      </c>
      <c r="M45" s="13">
        <v>0</v>
      </c>
      <c r="N45" s="13">
        <v>13530</v>
      </c>
      <c r="O45" s="13">
        <v>0</v>
      </c>
      <c r="P45" s="14">
        <f t="shared" si="40"/>
        <v>29649</v>
      </c>
      <c r="Q45" s="13">
        <f t="shared" si="33"/>
        <v>26328</v>
      </c>
      <c r="R45" s="13">
        <f t="shared" si="33"/>
        <v>29649</v>
      </c>
      <c r="S45" s="13">
        <f t="shared" si="33"/>
        <v>3321</v>
      </c>
      <c r="T45" s="13">
        <f t="shared" si="33"/>
        <v>0</v>
      </c>
      <c r="U45" s="13">
        <f t="shared" si="33"/>
        <v>26328</v>
      </c>
      <c r="V45" s="256">
        <f t="shared" si="41"/>
        <v>0</v>
      </c>
    </row>
    <row r="46" spans="1:22" s="255" customFormat="1" ht="20.149999999999999" hidden="1" customHeight="1" outlineLevel="1" x14ac:dyDescent="0.55000000000000004">
      <c r="A46" s="261"/>
      <c r="B46" s="545" t="s">
        <v>25</v>
      </c>
      <c r="C46" s="14">
        <f>SUM(F46,H46)</f>
        <v>18756</v>
      </c>
      <c r="D46" s="13">
        <f>SUM(G46,H46)</f>
        <v>16793</v>
      </c>
      <c r="E46" s="13">
        <f>SUM(F46:H46)</f>
        <v>18756</v>
      </c>
      <c r="F46" s="13">
        <v>1963</v>
      </c>
      <c r="G46" s="13">
        <v>0</v>
      </c>
      <c r="H46" s="257">
        <v>16793</v>
      </c>
      <c r="I46" s="13">
        <f t="shared" si="37"/>
        <v>19201</v>
      </c>
      <c r="J46" s="13">
        <f t="shared" si="38"/>
        <v>16807</v>
      </c>
      <c r="K46" s="13">
        <f t="shared" si="39"/>
        <v>19201</v>
      </c>
      <c r="L46" s="13">
        <v>2394</v>
      </c>
      <c r="M46" s="13">
        <v>0</v>
      </c>
      <c r="N46" s="13">
        <v>16807</v>
      </c>
      <c r="O46" s="13">
        <v>0</v>
      </c>
      <c r="P46" s="14">
        <f t="shared" si="40"/>
        <v>37957</v>
      </c>
      <c r="Q46" s="13">
        <f t="shared" si="33"/>
        <v>33600</v>
      </c>
      <c r="R46" s="13">
        <f t="shared" si="33"/>
        <v>37957</v>
      </c>
      <c r="S46" s="13">
        <f t="shared" si="33"/>
        <v>4357</v>
      </c>
      <c r="T46" s="13">
        <f t="shared" si="33"/>
        <v>0</v>
      </c>
      <c r="U46" s="13">
        <f t="shared" si="33"/>
        <v>33600</v>
      </c>
      <c r="V46" s="256">
        <f t="shared" si="41"/>
        <v>0</v>
      </c>
    </row>
    <row r="47" spans="1:22" s="255" customFormat="1" ht="20.149999999999999" hidden="1" customHeight="1" outlineLevel="1" x14ac:dyDescent="0.55000000000000004">
      <c r="A47" s="261"/>
      <c r="B47" s="545" t="s">
        <v>26</v>
      </c>
      <c r="C47" s="14">
        <f t="shared" si="34"/>
        <v>21555</v>
      </c>
      <c r="D47" s="13">
        <f t="shared" si="35"/>
        <v>19390</v>
      </c>
      <c r="E47" s="13">
        <f>SUM(F47:H47)</f>
        <v>21555</v>
      </c>
      <c r="F47" s="13">
        <v>2165</v>
      </c>
      <c r="G47" s="13">
        <v>0</v>
      </c>
      <c r="H47" s="257">
        <v>19390</v>
      </c>
      <c r="I47" s="13">
        <f t="shared" si="37"/>
        <v>22160</v>
      </c>
      <c r="J47" s="13">
        <f t="shared" si="38"/>
        <v>19703</v>
      </c>
      <c r="K47" s="13">
        <f t="shared" si="39"/>
        <v>22160</v>
      </c>
      <c r="L47" s="13">
        <v>2457</v>
      </c>
      <c r="M47" s="13">
        <v>0</v>
      </c>
      <c r="N47" s="13">
        <v>19703</v>
      </c>
      <c r="O47" s="13">
        <v>0</v>
      </c>
      <c r="P47" s="14">
        <f t="shared" si="40"/>
        <v>43715</v>
      </c>
      <c r="Q47" s="13">
        <f t="shared" si="33"/>
        <v>39093</v>
      </c>
      <c r="R47" s="13">
        <f t="shared" si="33"/>
        <v>43715</v>
      </c>
      <c r="S47" s="13">
        <f t="shared" si="33"/>
        <v>4622</v>
      </c>
      <c r="T47" s="13">
        <f t="shared" si="33"/>
        <v>0</v>
      </c>
      <c r="U47" s="13">
        <f t="shared" si="33"/>
        <v>39093</v>
      </c>
      <c r="V47" s="256">
        <f t="shared" si="41"/>
        <v>0</v>
      </c>
    </row>
    <row r="48" spans="1:22" s="255" customFormat="1" ht="20.149999999999999" hidden="1" customHeight="1" outlineLevel="1" x14ac:dyDescent="0.55000000000000004">
      <c r="A48" s="261"/>
      <c r="B48" s="546" t="s">
        <v>27</v>
      </c>
      <c r="C48" s="258">
        <f t="shared" si="34"/>
        <v>0</v>
      </c>
      <c r="D48" s="259">
        <f t="shared" si="35"/>
        <v>0</v>
      </c>
      <c r="E48" s="259">
        <f>SUM(F48:H48)</f>
        <v>0</v>
      </c>
      <c r="F48" s="259">
        <v>0</v>
      </c>
      <c r="G48" s="259">
        <v>0</v>
      </c>
      <c r="H48" s="260">
        <v>0</v>
      </c>
      <c r="I48" s="258">
        <f>SUM(L48,N48)</f>
        <v>450787</v>
      </c>
      <c r="J48" s="259">
        <f>SUM(M48,N48)</f>
        <v>442351</v>
      </c>
      <c r="K48" s="259">
        <f>SUM(L48:O48)</f>
        <v>455079</v>
      </c>
      <c r="L48" s="259">
        <v>8436</v>
      </c>
      <c r="M48" s="259">
        <v>0</v>
      </c>
      <c r="N48" s="259">
        <v>442351</v>
      </c>
      <c r="O48" s="266">
        <v>4292</v>
      </c>
      <c r="P48" s="258">
        <f t="shared" si="40"/>
        <v>450787</v>
      </c>
      <c r="Q48" s="259">
        <f t="shared" si="33"/>
        <v>442351</v>
      </c>
      <c r="R48" s="259">
        <f t="shared" si="33"/>
        <v>455079</v>
      </c>
      <c r="S48" s="259">
        <f t="shared" si="33"/>
        <v>8436</v>
      </c>
      <c r="T48" s="259">
        <f t="shared" si="33"/>
        <v>0</v>
      </c>
      <c r="U48" s="259">
        <f t="shared" si="33"/>
        <v>442351</v>
      </c>
      <c r="V48" s="260">
        <f>O48</f>
        <v>4292</v>
      </c>
    </row>
    <row r="49" spans="2:22" ht="20.25" customHeight="1" collapsed="1" x14ac:dyDescent="0.3">
      <c r="B49" s="539" t="s">
        <v>1082</v>
      </c>
      <c r="C49" s="14">
        <v>158383</v>
      </c>
      <c r="D49" s="13">
        <v>141050</v>
      </c>
      <c r="E49" s="13">
        <v>158384</v>
      </c>
      <c r="F49" s="13">
        <v>17334</v>
      </c>
      <c r="G49" s="13">
        <v>1</v>
      </c>
      <c r="H49" s="257">
        <v>141049</v>
      </c>
      <c r="I49" s="13">
        <v>569731</v>
      </c>
      <c r="J49" s="13">
        <v>547156</v>
      </c>
      <c r="K49" s="13">
        <v>574105</v>
      </c>
      <c r="L49" s="13">
        <v>22575</v>
      </c>
      <c r="M49" s="13">
        <v>0</v>
      </c>
      <c r="N49" s="13">
        <v>547156</v>
      </c>
      <c r="O49" s="13">
        <v>4374</v>
      </c>
      <c r="P49" s="14">
        <v>728114</v>
      </c>
      <c r="Q49" s="13">
        <v>688206</v>
      </c>
      <c r="R49" s="13">
        <v>732489</v>
      </c>
      <c r="S49" s="13">
        <v>39909</v>
      </c>
      <c r="T49" s="13">
        <v>1</v>
      </c>
      <c r="U49" s="13">
        <v>688205</v>
      </c>
      <c r="V49" s="257">
        <v>4374</v>
      </c>
    </row>
    <row r="50" spans="2:22" ht="20.25" customHeight="1" x14ac:dyDescent="0.3">
      <c r="B50" s="539" t="s">
        <v>0</v>
      </c>
      <c r="C50" s="14">
        <v>157990</v>
      </c>
      <c r="D50" s="13">
        <v>140805</v>
      </c>
      <c r="E50" s="13">
        <v>157990</v>
      </c>
      <c r="F50" s="13">
        <v>17185</v>
      </c>
      <c r="G50" s="13">
        <v>0</v>
      </c>
      <c r="H50" s="257">
        <v>140805</v>
      </c>
      <c r="I50" s="13">
        <v>561075</v>
      </c>
      <c r="J50" s="13">
        <v>539227</v>
      </c>
      <c r="K50" s="13">
        <v>565429</v>
      </c>
      <c r="L50" s="13">
        <v>21848</v>
      </c>
      <c r="M50" s="13">
        <v>0</v>
      </c>
      <c r="N50" s="13">
        <v>539227</v>
      </c>
      <c r="O50" s="13">
        <v>4354</v>
      </c>
      <c r="P50" s="14">
        <v>719065</v>
      </c>
      <c r="Q50" s="13">
        <v>680032</v>
      </c>
      <c r="R50" s="13">
        <v>723419</v>
      </c>
      <c r="S50" s="13">
        <v>39033</v>
      </c>
      <c r="T50" s="13">
        <v>0</v>
      </c>
      <c r="U50" s="13">
        <v>680032</v>
      </c>
      <c r="V50" s="257">
        <v>4354</v>
      </c>
    </row>
    <row r="51" spans="2:22" ht="20.25" customHeight="1" x14ac:dyDescent="0.3">
      <c r="B51" s="539" t="s">
        <v>2</v>
      </c>
      <c r="C51" s="14">
        <v>160645</v>
      </c>
      <c r="D51" s="13">
        <v>143144</v>
      </c>
      <c r="E51" s="13">
        <v>160645</v>
      </c>
      <c r="F51" s="13">
        <v>17501</v>
      </c>
      <c r="G51" s="13">
        <v>0</v>
      </c>
      <c r="H51" s="257">
        <v>143144</v>
      </c>
      <c r="I51" s="13">
        <v>552177</v>
      </c>
      <c r="J51" s="13">
        <v>531258</v>
      </c>
      <c r="K51" s="13">
        <v>556223</v>
      </c>
      <c r="L51" s="13">
        <v>20920</v>
      </c>
      <c r="M51" s="13">
        <v>1</v>
      </c>
      <c r="N51" s="13">
        <v>531257</v>
      </c>
      <c r="O51" s="13">
        <v>4045</v>
      </c>
      <c r="P51" s="14">
        <v>712822</v>
      </c>
      <c r="Q51" s="13">
        <v>674402</v>
      </c>
      <c r="R51" s="13">
        <v>716868</v>
      </c>
      <c r="S51" s="13">
        <v>38421</v>
      </c>
      <c r="T51" s="13">
        <v>1</v>
      </c>
      <c r="U51" s="13">
        <v>674401</v>
      </c>
      <c r="V51" s="257">
        <v>4045</v>
      </c>
    </row>
    <row r="52" spans="2:22" ht="20.25" customHeight="1" x14ac:dyDescent="0.3">
      <c r="B52" s="539" t="s">
        <v>3</v>
      </c>
      <c r="C52" s="14">
        <v>172672</v>
      </c>
      <c r="D52" s="13">
        <v>154806</v>
      </c>
      <c r="E52" s="13">
        <v>172672</v>
      </c>
      <c r="F52" s="13">
        <v>17866</v>
      </c>
      <c r="G52" s="13">
        <v>0</v>
      </c>
      <c r="H52" s="257">
        <v>154806</v>
      </c>
      <c r="I52" s="13">
        <v>531553</v>
      </c>
      <c r="J52" s="13">
        <v>511847</v>
      </c>
      <c r="K52" s="13">
        <v>535783</v>
      </c>
      <c r="L52" s="13">
        <v>19707</v>
      </c>
      <c r="M52" s="13">
        <v>1</v>
      </c>
      <c r="N52" s="13">
        <v>511846</v>
      </c>
      <c r="O52" s="13">
        <v>4229</v>
      </c>
      <c r="P52" s="14">
        <v>704225</v>
      </c>
      <c r="Q52" s="13">
        <v>666653</v>
      </c>
      <c r="R52" s="13">
        <v>708455</v>
      </c>
      <c r="S52" s="13">
        <v>37573</v>
      </c>
      <c r="T52" s="13">
        <v>1</v>
      </c>
      <c r="U52" s="13">
        <v>666652</v>
      </c>
      <c r="V52" s="257">
        <v>4229</v>
      </c>
    </row>
    <row r="53" spans="2:22" ht="20.25" customHeight="1" x14ac:dyDescent="0.3">
      <c r="B53" s="539" t="s">
        <v>4</v>
      </c>
      <c r="C53" s="14">
        <v>176289</v>
      </c>
      <c r="D53" s="13">
        <v>157701</v>
      </c>
      <c r="E53" s="13">
        <v>176289</v>
      </c>
      <c r="F53" s="13">
        <v>18588</v>
      </c>
      <c r="G53" s="13">
        <v>0</v>
      </c>
      <c r="H53" s="257">
        <v>157701</v>
      </c>
      <c r="I53" s="13">
        <v>518848</v>
      </c>
      <c r="J53" s="13">
        <v>499702</v>
      </c>
      <c r="K53" s="13">
        <v>523164</v>
      </c>
      <c r="L53" s="13">
        <v>19146</v>
      </c>
      <c r="M53" s="13">
        <v>0</v>
      </c>
      <c r="N53" s="13">
        <v>499702</v>
      </c>
      <c r="O53" s="13">
        <v>4316</v>
      </c>
      <c r="P53" s="14">
        <v>695137</v>
      </c>
      <c r="Q53" s="13">
        <v>657403</v>
      </c>
      <c r="R53" s="13">
        <v>699453</v>
      </c>
      <c r="S53" s="13">
        <v>37734</v>
      </c>
      <c r="T53" s="13">
        <v>0</v>
      </c>
      <c r="U53" s="13">
        <v>657403</v>
      </c>
      <c r="V53" s="257">
        <v>4316</v>
      </c>
    </row>
    <row r="54" spans="2:22" x14ac:dyDescent="0.35">
      <c r="B54" s="3"/>
    </row>
    <row r="55" spans="2:22" x14ac:dyDescent="0.35">
      <c r="B55" s="3"/>
    </row>
    <row r="56" spans="2:22" x14ac:dyDescent="0.35">
      <c r="B56" s="3"/>
    </row>
    <row r="57" spans="2:22" x14ac:dyDescent="0.35">
      <c r="B57" s="3"/>
    </row>
    <row r="58" spans="2:22" x14ac:dyDescent="0.35">
      <c r="B58" s="3"/>
    </row>
    <row r="59" spans="2:22" x14ac:dyDescent="0.35">
      <c r="B59" s="3"/>
    </row>
    <row r="60" spans="2:22" x14ac:dyDescent="0.35">
      <c r="B60" s="3"/>
    </row>
    <row r="61" spans="2:22" x14ac:dyDescent="0.35">
      <c r="B61" s="3"/>
    </row>
    <row r="62" spans="2:22" x14ac:dyDescent="0.35">
      <c r="B62" s="3"/>
    </row>
    <row r="63" spans="2:22" x14ac:dyDescent="0.35">
      <c r="B63" s="3"/>
    </row>
    <row r="64" spans="2:22" x14ac:dyDescent="0.35">
      <c r="B64" s="3"/>
    </row>
    <row r="65" spans="2:2" x14ac:dyDescent="0.35">
      <c r="B65" s="3"/>
    </row>
    <row r="66" spans="2:2" x14ac:dyDescent="0.35">
      <c r="B66" s="3"/>
    </row>
    <row r="67" spans="2:2" x14ac:dyDescent="0.35">
      <c r="B67" s="3"/>
    </row>
    <row r="68" spans="2:2" x14ac:dyDescent="0.35">
      <c r="B68" s="3"/>
    </row>
    <row r="69" spans="2:2" x14ac:dyDescent="0.35">
      <c r="B69" s="3"/>
    </row>
    <row r="70" spans="2:2" x14ac:dyDescent="0.35">
      <c r="B70" s="3"/>
    </row>
    <row r="71" spans="2:2" x14ac:dyDescent="0.35">
      <c r="B71" s="3"/>
    </row>
    <row r="72" spans="2:2" x14ac:dyDescent="0.35">
      <c r="B72" s="3"/>
    </row>
    <row r="73" spans="2:2" x14ac:dyDescent="0.35">
      <c r="B73" s="3"/>
    </row>
    <row r="74" spans="2:2" x14ac:dyDescent="0.35">
      <c r="B74" s="3"/>
    </row>
    <row r="75" spans="2:2" x14ac:dyDescent="0.35">
      <c r="B75" s="3"/>
    </row>
    <row r="76" spans="2:2" x14ac:dyDescent="0.35">
      <c r="B76" s="3"/>
    </row>
    <row r="77" spans="2:2" x14ac:dyDescent="0.35">
      <c r="B77" s="3"/>
    </row>
    <row r="78" spans="2:2" x14ac:dyDescent="0.35">
      <c r="B78" s="3"/>
    </row>
    <row r="79" spans="2:2" x14ac:dyDescent="0.35">
      <c r="B79" s="3"/>
    </row>
    <row r="80" spans="2:2" x14ac:dyDescent="0.35">
      <c r="B80" s="3"/>
    </row>
    <row r="81" spans="2:2" x14ac:dyDescent="0.35">
      <c r="B81" s="3"/>
    </row>
    <row r="82" spans="2:2" x14ac:dyDescent="0.35">
      <c r="B82" s="3"/>
    </row>
    <row r="83" spans="2:2" x14ac:dyDescent="0.35">
      <c r="B83" s="3"/>
    </row>
    <row r="84" spans="2:2" x14ac:dyDescent="0.35">
      <c r="B84" s="3"/>
    </row>
    <row r="85" spans="2:2" x14ac:dyDescent="0.35">
      <c r="B85" s="3"/>
    </row>
    <row r="86" spans="2:2" x14ac:dyDescent="0.35">
      <c r="B86" s="3"/>
    </row>
    <row r="87" spans="2:2" x14ac:dyDescent="0.35">
      <c r="B87" s="3"/>
    </row>
    <row r="88" spans="2:2" x14ac:dyDescent="0.35">
      <c r="B88" s="3"/>
    </row>
    <row r="89" spans="2:2" x14ac:dyDescent="0.35">
      <c r="B89" s="3"/>
    </row>
    <row r="90" spans="2:2" x14ac:dyDescent="0.35">
      <c r="B90" s="3"/>
    </row>
    <row r="91" spans="2:2" x14ac:dyDescent="0.35">
      <c r="B91" s="3"/>
    </row>
    <row r="92" spans="2:2" x14ac:dyDescent="0.35">
      <c r="B92" s="3"/>
    </row>
    <row r="93" spans="2:2" x14ac:dyDescent="0.35">
      <c r="B93" s="3"/>
    </row>
    <row r="94" spans="2:2" x14ac:dyDescent="0.35">
      <c r="B94" s="3"/>
    </row>
    <row r="95" spans="2:2" x14ac:dyDescent="0.35">
      <c r="B95" s="3"/>
    </row>
    <row r="96" spans="2:2" x14ac:dyDescent="0.35">
      <c r="B96" s="3"/>
    </row>
    <row r="97" spans="2:2" x14ac:dyDescent="0.35">
      <c r="B97" s="3"/>
    </row>
    <row r="98" spans="2:2" x14ac:dyDescent="0.35">
      <c r="B98" s="3"/>
    </row>
    <row r="99" spans="2:2" x14ac:dyDescent="0.35">
      <c r="B99" s="3"/>
    </row>
    <row r="100" spans="2:2" x14ac:dyDescent="0.35">
      <c r="B100" s="3"/>
    </row>
    <row r="101" spans="2:2" x14ac:dyDescent="0.35">
      <c r="B101" s="3"/>
    </row>
    <row r="102" spans="2:2" x14ac:dyDescent="0.35">
      <c r="B102" s="3"/>
    </row>
    <row r="103" spans="2:2" x14ac:dyDescent="0.35">
      <c r="B103" s="3"/>
    </row>
    <row r="104" spans="2:2" x14ac:dyDescent="0.35">
      <c r="B104" s="3"/>
    </row>
    <row r="105" spans="2:2" x14ac:dyDescent="0.35">
      <c r="B105" s="3"/>
    </row>
    <row r="106" spans="2:2" x14ac:dyDescent="0.35">
      <c r="B106" s="3"/>
    </row>
    <row r="107" spans="2:2" x14ac:dyDescent="0.35">
      <c r="B107" s="3"/>
    </row>
    <row r="108" spans="2:2" x14ac:dyDescent="0.35">
      <c r="B108" s="3"/>
    </row>
  </sheetData>
  <sortState ref="B13:V17">
    <sortCondition descending="1" ref="B13:B17"/>
  </sortState>
  <customSheetViews>
    <customSheetView guid="{501209ED-4B79-4E52-B95E-748E5E77E24F}" scale="85" hiddenRows="1">
      <pane xSplit="2" ySplit="11" topLeftCell="C12" activePane="bottomRight" state="frozen"/>
      <selection pane="bottomRight"/>
      <pageMargins left="0.59055118110236227" right="0.59055118110236227" top="0.59055118110236227" bottom="0.59055118110236227" header="0.31496062992125984" footer="0.31496062992125984"/>
      <printOptions horizontalCentered="1"/>
      <pageSetup paperSize="9" scale="36" orientation="landscape" r:id="rId1"/>
    </customSheetView>
  </customSheetViews>
  <mergeCells count="15">
    <mergeCell ref="K11:K12"/>
    <mergeCell ref="J11:J12"/>
    <mergeCell ref="I11:I12"/>
    <mergeCell ref="I10:O10"/>
    <mergeCell ref="L11:O11"/>
    <mergeCell ref="F11:H11"/>
    <mergeCell ref="E11:E12"/>
    <mergeCell ref="D11:D12"/>
    <mergeCell ref="C11:C12"/>
    <mergeCell ref="C10:H10"/>
    <mergeCell ref="R11:R12"/>
    <mergeCell ref="Q11:Q12"/>
    <mergeCell ref="P11:P12"/>
    <mergeCell ref="P10:V10"/>
    <mergeCell ref="S11:V11"/>
  </mergeCells>
  <phoneticPr fontId="1"/>
  <conditionalFormatting sqref="C27:V36">
    <cfRule type="containsBlanks" dxfId="421" priority="2">
      <formula>LEN(TRIM(C27))=0</formula>
    </cfRule>
  </conditionalFormatting>
  <conditionalFormatting sqref="F15:H24 L15:O24">
    <cfRule type="containsBlanks" dxfId="420" priority="1">
      <formula>LEN(TRIM(F15))=0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36"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5"/>
  <sheetViews>
    <sheetView zoomScaleNormal="100" workbookViewId="0">
      <pane xSplit="5" ySplit="7" topLeftCell="F8" activePane="bottomRight" state="frozen"/>
      <selection pane="topRight" activeCell="F1" sqref="F1"/>
      <selection pane="bottomLeft" activeCell="A8" sqref="A8"/>
      <selection pane="bottomRight" activeCell="C1" sqref="C1"/>
    </sheetView>
  </sheetViews>
  <sheetFormatPr defaultColWidth="8.58203125" defaultRowHeight="14.5" x14ac:dyDescent="0.35"/>
  <cols>
    <col min="1" max="4" width="3" style="4" bestFit="1" customWidth="1"/>
    <col min="5" max="5" width="18.08203125" style="4" bestFit="1" customWidth="1"/>
    <col min="6" max="13" width="6.58203125" style="1" customWidth="1"/>
    <col min="14" max="18" width="6.58203125" style="2" customWidth="1"/>
    <col min="19" max="21" width="6.58203125" style="1" customWidth="1"/>
    <col min="22" max="28" width="10.83203125" style="1" bestFit="1" customWidth="1"/>
    <col min="29" max="30" width="10.33203125" style="1" bestFit="1" customWidth="1"/>
    <col min="31" max="16384" width="8.58203125" style="1"/>
  </cols>
  <sheetData>
    <row r="1" spans="1:31" x14ac:dyDescent="0.35">
      <c r="A1" s="432" t="s">
        <v>438</v>
      </c>
      <c r="B1" s="434"/>
      <c r="C1" s="434"/>
      <c r="D1" s="434"/>
    </row>
    <row r="3" spans="1:31" s="253" customFormat="1" ht="20.149999999999999" customHeight="1" x14ac:dyDescent="0.55000000000000004">
      <c r="A3" s="252" t="s">
        <v>181</v>
      </c>
      <c r="C3" s="252"/>
      <c r="D3" s="252"/>
      <c r="E3" s="252"/>
    </row>
    <row r="4" spans="1:31" s="253" customFormat="1" ht="20.149999999999999" customHeight="1" x14ac:dyDescent="0.55000000000000004">
      <c r="A4" s="252" t="s">
        <v>226</v>
      </c>
      <c r="C4" s="252"/>
      <c r="D4" s="252"/>
      <c r="E4" s="252"/>
    </row>
    <row r="5" spans="1:31" s="253" customFormat="1" ht="14.5" customHeight="1" x14ac:dyDescent="0.55000000000000004"/>
    <row r="6" spans="1:31" s="22" customFormat="1" ht="14.5" customHeight="1" x14ac:dyDescent="0.55000000000000004">
      <c r="A6" s="22" t="s">
        <v>216</v>
      </c>
      <c r="B6" s="30"/>
      <c r="C6" s="30"/>
      <c r="D6" s="30"/>
      <c r="E6" s="30"/>
    </row>
    <row r="7" spans="1:31" s="21" customFormat="1" ht="20.149999999999999" customHeight="1" x14ac:dyDescent="0.55000000000000004">
      <c r="A7" s="327"/>
      <c r="B7" s="327"/>
      <c r="C7" s="327"/>
      <c r="D7" s="327"/>
      <c r="E7" s="327"/>
      <c r="F7" s="672" t="s">
        <v>1129</v>
      </c>
      <c r="G7" s="672"/>
      <c r="H7" s="672" t="s">
        <v>1112</v>
      </c>
      <c r="I7" s="672"/>
      <c r="J7" s="672" t="s">
        <v>1088</v>
      </c>
      <c r="K7" s="672"/>
      <c r="L7" s="673" t="s">
        <v>1079</v>
      </c>
      <c r="M7" s="674"/>
      <c r="N7" s="672" t="s">
        <v>217</v>
      </c>
      <c r="O7" s="672"/>
      <c r="P7" s="672" t="s">
        <v>218</v>
      </c>
      <c r="Q7" s="672"/>
      <c r="R7" s="672" t="s">
        <v>219</v>
      </c>
      <c r="S7" s="672"/>
      <c r="T7" s="672" t="s">
        <v>220</v>
      </c>
      <c r="U7" s="672"/>
      <c r="V7" s="45"/>
      <c r="W7" s="45"/>
      <c r="X7" s="45"/>
      <c r="Y7" s="45"/>
      <c r="Z7" s="45"/>
      <c r="AA7" s="45"/>
      <c r="AB7" s="45"/>
      <c r="AC7" s="45"/>
      <c r="AD7" s="45"/>
      <c r="AE7" s="45"/>
    </row>
    <row r="8" spans="1:31" s="21" customFormat="1" ht="20.149999999999999" customHeight="1" x14ac:dyDescent="0.55000000000000004">
      <c r="A8" s="327"/>
      <c r="B8" s="327"/>
      <c r="C8" s="327"/>
      <c r="D8" s="327"/>
      <c r="E8" s="327"/>
      <c r="F8" s="365" t="s">
        <v>227</v>
      </c>
      <c r="G8" s="365" t="s">
        <v>228</v>
      </c>
      <c r="H8" s="365" t="s">
        <v>227</v>
      </c>
      <c r="I8" s="365" t="s">
        <v>228</v>
      </c>
      <c r="J8" s="365" t="s">
        <v>227</v>
      </c>
      <c r="K8" s="365" t="s">
        <v>228</v>
      </c>
      <c r="L8" s="365" t="s">
        <v>1089</v>
      </c>
      <c r="M8" s="365" t="s">
        <v>1090</v>
      </c>
      <c r="N8" s="365" t="s">
        <v>227</v>
      </c>
      <c r="O8" s="365" t="s">
        <v>228</v>
      </c>
      <c r="P8" s="365" t="s">
        <v>227</v>
      </c>
      <c r="Q8" s="365" t="s">
        <v>228</v>
      </c>
      <c r="R8" s="365" t="s">
        <v>227</v>
      </c>
      <c r="S8" s="365" t="s">
        <v>228</v>
      </c>
      <c r="T8" s="365" t="s">
        <v>227</v>
      </c>
      <c r="U8" s="365" t="s">
        <v>228</v>
      </c>
      <c r="V8" s="45"/>
      <c r="W8" s="45"/>
      <c r="X8" s="45"/>
      <c r="Y8" s="45"/>
      <c r="Z8" s="45"/>
      <c r="AA8" s="45"/>
      <c r="AB8" s="45"/>
      <c r="AC8" s="45"/>
      <c r="AD8" s="45"/>
      <c r="AE8" s="45"/>
    </row>
    <row r="9" spans="1:31" s="255" customFormat="1" ht="29.15" customHeight="1" x14ac:dyDescent="0.55000000000000004">
      <c r="A9" s="696" t="s">
        <v>183</v>
      </c>
      <c r="B9" s="689" t="s">
        <v>210</v>
      </c>
      <c r="C9" s="689"/>
      <c r="D9" s="689"/>
      <c r="E9" s="689"/>
      <c r="F9" s="86">
        <v>288</v>
      </c>
      <c r="G9" s="82">
        <v>127</v>
      </c>
      <c r="H9" s="82">
        <v>296</v>
      </c>
      <c r="I9" s="82">
        <v>131</v>
      </c>
      <c r="J9" s="82">
        <v>298</v>
      </c>
      <c r="K9" s="82">
        <v>138</v>
      </c>
      <c r="L9" s="82">
        <v>298</v>
      </c>
      <c r="M9" s="82">
        <v>156</v>
      </c>
      <c r="N9" s="82">
        <v>294</v>
      </c>
      <c r="O9" s="82">
        <v>158</v>
      </c>
      <c r="P9" s="82">
        <v>296</v>
      </c>
      <c r="Q9" s="82">
        <v>163</v>
      </c>
      <c r="R9" s="82">
        <v>282</v>
      </c>
      <c r="S9" s="82">
        <v>167</v>
      </c>
      <c r="T9" s="82">
        <v>290</v>
      </c>
      <c r="U9" s="84">
        <v>173</v>
      </c>
      <c r="V9" s="40"/>
      <c r="W9" s="40"/>
      <c r="X9" s="40"/>
      <c r="Y9" s="40"/>
      <c r="Z9" s="40"/>
      <c r="AA9" s="40"/>
      <c r="AB9" s="40"/>
      <c r="AC9" s="40"/>
      <c r="AD9" s="40"/>
      <c r="AE9" s="40"/>
    </row>
    <row r="10" spans="1:31" s="255" customFormat="1" ht="29.15" customHeight="1" x14ac:dyDescent="0.55000000000000004">
      <c r="A10" s="697"/>
      <c r="B10" s="687" t="s">
        <v>211</v>
      </c>
      <c r="C10" s="687"/>
      <c r="D10" s="687"/>
      <c r="E10" s="687"/>
      <c r="F10" s="87">
        <v>10</v>
      </c>
      <c r="G10" s="83">
        <v>7</v>
      </c>
      <c r="H10" s="83">
        <v>10</v>
      </c>
      <c r="I10" s="83">
        <v>7</v>
      </c>
      <c r="J10" s="83">
        <v>10</v>
      </c>
      <c r="K10" s="83">
        <v>8</v>
      </c>
      <c r="L10" s="83">
        <v>8</v>
      </c>
      <c r="M10" s="83">
        <v>11</v>
      </c>
      <c r="N10" s="83">
        <v>10</v>
      </c>
      <c r="O10" s="83">
        <v>14</v>
      </c>
      <c r="P10" s="83">
        <v>9</v>
      </c>
      <c r="Q10" s="83">
        <v>23</v>
      </c>
      <c r="R10" s="83">
        <v>9</v>
      </c>
      <c r="S10" s="83">
        <v>38</v>
      </c>
      <c r="T10" s="83">
        <v>13</v>
      </c>
      <c r="U10" s="85">
        <v>63</v>
      </c>
      <c r="V10" s="40"/>
      <c r="W10" s="40"/>
      <c r="X10" s="40"/>
      <c r="Y10" s="40"/>
      <c r="Z10" s="40"/>
      <c r="AA10" s="40"/>
      <c r="AB10" s="40"/>
      <c r="AC10" s="40"/>
      <c r="AD10" s="40"/>
      <c r="AE10" s="40"/>
    </row>
    <row r="11" spans="1:31" s="255" customFormat="1" ht="29.15" customHeight="1" x14ac:dyDescent="0.55000000000000004">
      <c r="A11" s="697"/>
      <c r="B11" s="687" t="s">
        <v>212</v>
      </c>
      <c r="C11" s="687"/>
      <c r="D11" s="687"/>
      <c r="E11" s="687"/>
      <c r="F11" s="87">
        <v>69</v>
      </c>
      <c r="G11" s="83">
        <v>314</v>
      </c>
      <c r="H11" s="83">
        <v>72</v>
      </c>
      <c r="I11" s="83">
        <v>313</v>
      </c>
      <c r="J11" s="83">
        <v>73</v>
      </c>
      <c r="K11" s="83">
        <v>314</v>
      </c>
      <c r="L11" s="83">
        <v>77</v>
      </c>
      <c r="M11" s="83">
        <v>312</v>
      </c>
      <c r="N11" s="83">
        <v>73</v>
      </c>
      <c r="O11" s="83">
        <v>311</v>
      </c>
      <c r="P11" s="83">
        <v>71</v>
      </c>
      <c r="Q11" s="83">
        <v>301</v>
      </c>
      <c r="R11" s="83">
        <v>74</v>
      </c>
      <c r="S11" s="83">
        <v>286</v>
      </c>
      <c r="T11" s="83">
        <v>63</v>
      </c>
      <c r="U11" s="85">
        <v>262</v>
      </c>
      <c r="V11" s="40"/>
      <c r="W11" s="40"/>
      <c r="X11" s="40"/>
      <c r="Y11" s="40"/>
      <c r="Z11" s="40"/>
      <c r="AA11" s="40"/>
      <c r="AB11" s="40"/>
      <c r="AC11" s="40"/>
      <c r="AD11" s="40"/>
      <c r="AE11" s="40"/>
    </row>
    <row r="12" spans="1:31" s="255" customFormat="1" ht="29.15" customHeight="1" x14ac:dyDescent="0.55000000000000004">
      <c r="A12" s="697"/>
      <c r="B12" s="687" t="s">
        <v>213</v>
      </c>
      <c r="C12" s="687"/>
      <c r="D12" s="687"/>
      <c r="E12" s="687"/>
      <c r="F12" s="87">
        <v>3</v>
      </c>
      <c r="G12" s="83" t="s">
        <v>50</v>
      </c>
      <c r="H12" s="83">
        <v>5</v>
      </c>
      <c r="I12" s="83" t="s">
        <v>50</v>
      </c>
      <c r="J12" s="83">
        <v>5</v>
      </c>
      <c r="K12" s="83" t="s">
        <v>50</v>
      </c>
      <c r="L12" s="83">
        <v>4</v>
      </c>
      <c r="M12" s="83" t="s">
        <v>50</v>
      </c>
      <c r="N12" s="83">
        <v>4</v>
      </c>
      <c r="O12" s="83" t="s">
        <v>50</v>
      </c>
      <c r="P12" s="83">
        <v>5</v>
      </c>
      <c r="Q12" s="83" t="s">
        <v>50</v>
      </c>
      <c r="R12" s="83">
        <v>6</v>
      </c>
      <c r="S12" s="83" t="s">
        <v>50</v>
      </c>
      <c r="T12" s="83">
        <v>4</v>
      </c>
      <c r="U12" s="85" t="s">
        <v>50</v>
      </c>
      <c r="V12" s="40"/>
      <c r="W12" s="40"/>
      <c r="X12" s="40"/>
      <c r="Y12" s="40"/>
      <c r="Z12" s="40"/>
      <c r="AA12" s="40"/>
      <c r="AB12" s="40"/>
      <c r="AC12" s="40"/>
      <c r="AD12" s="40"/>
      <c r="AE12" s="40"/>
    </row>
    <row r="13" spans="1:31" s="255" customFormat="1" ht="29.15" customHeight="1" x14ac:dyDescent="0.55000000000000004">
      <c r="A13" s="697"/>
      <c r="B13" s="687" t="s">
        <v>214</v>
      </c>
      <c r="C13" s="687"/>
      <c r="D13" s="687"/>
      <c r="E13" s="687"/>
      <c r="F13" s="87">
        <v>2</v>
      </c>
      <c r="G13" s="83" t="s">
        <v>50</v>
      </c>
      <c r="H13" s="83">
        <v>1</v>
      </c>
      <c r="I13" s="83" t="s">
        <v>50</v>
      </c>
      <c r="J13" s="83" t="s">
        <v>50</v>
      </c>
      <c r="K13" s="83" t="s">
        <v>50</v>
      </c>
      <c r="L13" s="83" t="s">
        <v>50</v>
      </c>
      <c r="M13" s="83" t="s">
        <v>50</v>
      </c>
      <c r="N13" s="83" t="s">
        <v>50</v>
      </c>
      <c r="O13" s="83" t="s">
        <v>50</v>
      </c>
      <c r="P13" s="83" t="s">
        <v>50</v>
      </c>
      <c r="Q13" s="83" t="s">
        <v>50</v>
      </c>
      <c r="R13" s="83" t="s">
        <v>50</v>
      </c>
      <c r="S13" s="83" t="s">
        <v>50</v>
      </c>
      <c r="T13" s="83" t="s">
        <v>50</v>
      </c>
      <c r="U13" s="85" t="s">
        <v>50</v>
      </c>
      <c r="V13" s="40"/>
      <c r="W13" s="40"/>
      <c r="X13" s="40"/>
      <c r="Y13" s="40"/>
      <c r="Z13" s="40"/>
      <c r="AA13" s="40"/>
      <c r="AB13" s="40"/>
      <c r="AC13" s="40"/>
      <c r="AD13" s="40"/>
      <c r="AE13" s="40"/>
    </row>
    <row r="14" spans="1:31" s="255" customFormat="1" ht="29.15" customHeight="1" x14ac:dyDescent="0.55000000000000004">
      <c r="A14" s="697"/>
      <c r="B14" s="687" t="s">
        <v>1132</v>
      </c>
      <c r="C14" s="687"/>
      <c r="D14" s="687"/>
      <c r="E14" s="687"/>
      <c r="F14" s="87" t="s">
        <v>50</v>
      </c>
      <c r="G14" s="83" t="s">
        <v>50</v>
      </c>
      <c r="H14" s="83" t="s">
        <v>50</v>
      </c>
      <c r="I14" s="83" t="s">
        <v>50</v>
      </c>
      <c r="J14" s="643" t="s">
        <v>50</v>
      </c>
      <c r="K14" s="643" t="s">
        <v>50</v>
      </c>
      <c r="L14" s="643" t="s">
        <v>50</v>
      </c>
      <c r="M14" s="643" t="s">
        <v>50</v>
      </c>
      <c r="N14" s="643" t="s">
        <v>50</v>
      </c>
      <c r="O14" s="643" t="s">
        <v>50</v>
      </c>
      <c r="P14" s="643" t="s">
        <v>50</v>
      </c>
      <c r="Q14" s="643" t="s">
        <v>50</v>
      </c>
      <c r="R14" s="643" t="s">
        <v>50</v>
      </c>
      <c r="S14" s="643" t="s">
        <v>50</v>
      </c>
      <c r="T14" s="643" t="s">
        <v>50</v>
      </c>
      <c r="U14" s="644" t="s">
        <v>50</v>
      </c>
      <c r="V14" s="40"/>
      <c r="W14" s="40"/>
      <c r="X14" s="40"/>
      <c r="Y14" s="40"/>
      <c r="Z14" s="40"/>
      <c r="AA14" s="40"/>
      <c r="AB14" s="40"/>
      <c r="AC14" s="40"/>
      <c r="AD14" s="40"/>
      <c r="AE14" s="40"/>
    </row>
    <row r="15" spans="1:31" s="255" customFormat="1" ht="29.15" customHeight="1" x14ac:dyDescent="0.55000000000000004">
      <c r="A15" s="697"/>
      <c r="B15" s="687" t="s">
        <v>1133</v>
      </c>
      <c r="C15" s="687"/>
      <c r="D15" s="687"/>
      <c r="E15" s="687"/>
      <c r="F15" s="87" t="s">
        <v>50</v>
      </c>
      <c r="G15" s="83" t="s">
        <v>50</v>
      </c>
      <c r="H15" s="83" t="s">
        <v>50</v>
      </c>
      <c r="I15" s="83" t="s">
        <v>50</v>
      </c>
      <c r="J15" s="643" t="s">
        <v>50</v>
      </c>
      <c r="K15" s="643" t="s">
        <v>50</v>
      </c>
      <c r="L15" s="643" t="s">
        <v>50</v>
      </c>
      <c r="M15" s="643" t="s">
        <v>50</v>
      </c>
      <c r="N15" s="643" t="s">
        <v>50</v>
      </c>
      <c r="O15" s="643" t="s">
        <v>50</v>
      </c>
      <c r="P15" s="643" t="s">
        <v>50</v>
      </c>
      <c r="Q15" s="643" t="s">
        <v>50</v>
      </c>
      <c r="R15" s="643" t="s">
        <v>50</v>
      </c>
      <c r="S15" s="643" t="s">
        <v>50</v>
      </c>
      <c r="T15" s="643" t="s">
        <v>50</v>
      </c>
      <c r="U15" s="644" t="s">
        <v>50</v>
      </c>
      <c r="V15" s="40"/>
      <c r="W15" s="40"/>
      <c r="X15" s="40"/>
      <c r="Y15" s="40"/>
      <c r="Z15" s="40"/>
      <c r="AA15" s="40"/>
      <c r="AB15" s="40"/>
      <c r="AC15" s="40"/>
      <c r="AD15" s="40"/>
      <c r="AE15" s="40"/>
    </row>
    <row r="16" spans="1:31" s="255" customFormat="1" ht="29.15" customHeight="1" thickBot="1" x14ac:dyDescent="0.6">
      <c r="A16" s="697"/>
      <c r="B16" s="690" t="s">
        <v>215</v>
      </c>
      <c r="C16" s="690"/>
      <c r="D16" s="690"/>
      <c r="E16" s="690"/>
      <c r="F16" s="91">
        <v>1</v>
      </c>
      <c r="G16" s="92" t="s">
        <v>50</v>
      </c>
      <c r="H16" s="92">
        <v>1</v>
      </c>
      <c r="I16" s="92" t="s">
        <v>50</v>
      </c>
      <c r="J16" s="92">
        <v>1</v>
      </c>
      <c r="K16" s="92" t="s">
        <v>50</v>
      </c>
      <c r="L16" s="92" t="s">
        <v>50</v>
      </c>
      <c r="M16" s="92" t="s">
        <v>50</v>
      </c>
      <c r="N16" s="92" t="s">
        <v>50</v>
      </c>
      <c r="O16" s="92" t="s">
        <v>50</v>
      </c>
      <c r="P16" s="92" t="s">
        <v>50</v>
      </c>
      <c r="Q16" s="92" t="s">
        <v>50</v>
      </c>
      <c r="R16" s="92" t="s">
        <v>50</v>
      </c>
      <c r="S16" s="92" t="s">
        <v>50</v>
      </c>
      <c r="T16" s="92" t="s">
        <v>50</v>
      </c>
      <c r="U16" s="93" t="s">
        <v>50</v>
      </c>
    </row>
    <row r="17" spans="1:21" s="255" customFormat="1" ht="29.15" customHeight="1" thickTop="1" x14ac:dyDescent="0.55000000000000004">
      <c r="A17" s="698"/>
      <c r="B17" s="699" t="s">
        <v>62</v>
      </c>
      <c r="C17" s="699"/>
      <c r="D17" s="699"/>
      <c r="E17" s="699"/>
      <c r="F17" s="94">
        <f t="shared" ref="F17:G17" si="0">SUM(F9:F16)</f>
        <v>373</v>
      </c>
      <c r="G17" s="94">
        <f t="shared" si="0"/>
        <v>448</v>
      </c>
      <c r="H17" s="94">
        <v>385</v>
      </c>
      <c r="I17" s="94">
        <v>451</v>
      </c>
      <c r="J17" s="94">
        <f t="shared" ref="J17:M17" si="1">SUM(J9:J16)</f>
        <v>387</v>
      </c>
      <c r="K17" s="94">
        <f t="shared" si="1"/>
        <v>460</v>
      </c>
      <c r="L17" s="94">
        <f t="shared" si="1"/>
        <v>387</v>
      </c>
      <c r="M17" s="94">
        <f t="shared" si="1"/>
        <v>479</v>
      </c>
      <c r="N17" s="94">
        <f t="shared" ref="N17:U17" si="2">SUM(N9:N16)</f>
        <v>381</v>
      </c>
      <c r="O17" s="94">
        <f t="shared" si="2"/>
        <v>483</v>
      </c>
      <c r="P17" s="94">
        <f t="shared" si="2"/>
        <v>381</v>
      </c>
      <c r="Q17" s="94">
        <f t="shared" si="2"/>
        <v>487</v>
      </c>
      <c r="R17" s="94">
        <f t="shared" si="2"/>
        <v>371</v>
      </c>
      <c r="S17" s="94">
        <f t="shared" si="2"/>
        <v>491</v>
      </c>
      <c r="T17" s="94">
        <f t="shared" si="2"/>
        <v>370</v>
      </c>
      <c r="U17" s="95">
        <f t="shared" si="2"/>
        <v>498</v>
      </c>
    </row>
    <row r="18" spans="1:21" s="255" customFormat="1" ht="29.15" customHeight="1" x14ac:dyDescent="0.55000000000000004">
      <c r="A18" s="696" t="s">
        <v>204</v>
      </c>
      <c r="B18" s="704" t="s">
        <v>184</v>
      </c>
      <c r="C18" s="704"/>
      <c r="D18" s="704"/>
      <c r="E18" s="704"/>
      <c r="F18" s="88">
        <v>27</v>
      </c>
      <c r="G18" s="89">
        <v>60</v>
      </c>
      <c r="H18" s="89">
        <v>32</v>
      </c>
      <c r="I18" s="89">
        <v>62</v>
      </c>
      <c r="J18" s="89">
        <v>27</v>
      </c>
      <c r="K18" s="89">
        <v>56</v>
      </c>
      <c r="L18" s="89">
        <v>27</v>
      </c>
      <c r="M18" s="89">
        <v>57</v>
      </c>
      <c r="N18" s="89">
        <v>27</v>
      </c>
      <c r="O18" s="89">
        <v>71</v>
      </c>
      <c r="P18" s="89">
        <v>30</v>
      </c>
      <c r="Q18" s="89">
        <v>63</v>
      </c>
      <c r="R18" s="89">
        <v>30</v>
      </c>
      <c r="S18" s="89">
        <v>64</v>
      </c>
      <c r="T18" s="89">
        <v>26</v>
      </c>
      <c r="U18" s="90">
        <v>74</v>
      </c>
    </row>
    <row r="19" spans="1:21" s="255" customFormat="1" ht="29.15" customHeight="1" x14ac:dyDescent="0.55000000000000004">
      <c r="A19" s="697"/>
      <c r="B19" s="716" t="s">
        <v>209</v>
      </c>
      <c r="C19" s="687" t="s">
        <v>192</v>
      </c>
      <c r="D19" s="687"/>
      <c r="E19" s="687"/>
      <c r="F19" s="87" t="s">
        <v>50</v>
      </c>
      <c r="G19" s="83" t="s">
        <v>50</v>
      </c>
      <c r="H19" s="83" t="s">
        <v>50</v>
      </c>
      <c r="I19" s="83" t="s">
        <v>50</v>
      </c>
      <c r="J19" s="83" t="s">
        <v>50</v>
      </c>
      <c r="K19" s="83" t="s">
        <v>50</v>
      </c>
      <c r="L19" s="83" t="s">
        <v>50</v>
      </c>
      <c r="M19" s="83" t="s">
        <v>50</v>
      </c>
      <c r="N19" s="83" t="s">
        <v>50</v>
      </c>
      <c r="O19" s="83" t="s">
        <v>50</v>
      </c>
      <c r="P19" s="83" t="s">
        <v>50</v>
      </c>
      <c r="Q19" s="83" t="s">
        <v>50</v>
      </c>
      <c r="R19" s="83" t="s">
        <v>50</v>
      </c>
      <c r="S19" s="83" t="s">
        <v>50</v>
      </c>
      <c r="T19" s="83" t="s">
        <v>50</v>
      </c>
      <c r="U19" s="85" t="s">
        <v>50</v>
      </c>
    </row>
    <row r="20" spans="1:21" s="255" customFormat="1" ht="29.15" customHeight="1" x14ac:dyDescent="0.55000000000000004">
      <c r="A20" s="697"/>
      <c r="B20" s="716"/>
      <c r="C20" s="687" t="s">
        <v>193</v>
      </c>
      <c r="D20" s="687"/>
      <c r="E20" s="687"/>
      <c r="F20" s="87" t="s">
        <v>50</v>
      </c>
      <c r="G20" s="83" t="s">
        <v>50</v>
      </c>
      <c r="H20" s="83" t="s">
        <v>50</v>
      </c>
      <c r="I20" s="83" t="s">
        <v>50</v>
      </c>
      <c r="J20" s="83" t="s">
        <v>50</v>
      </c>
      <c r="K20" s="83" t="s">
        <v>50</v>
      </c>
      <c r="L20" s="83" t="s">
        <v>50</v>
      </c>
      <c r="M20" s="83" t="s">
        <v>50</v>
      </c>
      <c r="N20" s="83" t="s">
        <v>50</v>
      </c>
      <c r="O20" s="83" t="s">
        <v>50</v>
      </c>
      <c r="P20" s="83" t="s">
        <v>50</v>
      </c>
      <c r="Q20" s="83" t="s">
        <v>50</v>
      </c>
      <c r="R20" s="83" t="s">
        <v>50</v>
      </c>
      <c r="S20" s="83" t="s">
        <v>50</v>
      </c>
      <c r="T20" s="83" t="s">
        <v>50</v>
      </c>
      <c r="U20" s="85" t="s">
        <v>50</v>
      </c>
    </row>
    <row r="21" spans="1:21" s="255" customFormat="1" ht="29.15" customHeight="1" x14ac:dyDescent="0.55000000000000004">
      <c r="A21" s="697"/>
      <c r="B21" s="716"/>
      <c r="C21" s="687" t="s">
        <v>194</v>
      </c>
      <c r="D21" s="687"/>
      <c r="E21" s="687"/>
      <c r="F21" s="87" t="s">
        <v>50</v>
      </c>
      <c r="G21" s="83" t="s">
        <v>50</v>
      </c>
      <c r="H21" s="83" t="s">
        <v>50</v>
      </c>
      <c r="I21" s="83" t="s">
        <v>50</v>
      </c>
      <c r="J21" s="83" t="s">
        <v>50</v>
      </c>
      <c r="K21" s="83" t="s">
        <v>50</v>
      </c>
      <c r="L21" s="83" t="s">
        <v>50</v>
      </c>
      <c r="M21" s="83" t="s">
        <v>50</v>
      </c>
      <c r="N21" s="83" t="s">
        <v>50</v>
      </c>
      <c r="O21" s="83" t="s">
        <v>50</v>
      </c>
      <c r="P21" s="83" t="s">
        <v>50</v>
      </c>
      <c r="Q21" s="83" t="s">
        <v>50</v>
      </c>
      <c r="R21" s="83" t="s">
        <v>50</v>
      </c>
      <c r="S21" s="83" t="s">
        <v>50</v>
      </c>
      <c r="T21" s="83" t="s">
        <v>50</v>
      </c>
      <c r="U21" s="85" t="s">
        <v>50</v>
      </c>
    </row>
    <row r="22" spans="1:21" s="255" customFormat="1" ht="29.15" customHeight="1" x14ac:dyDescent="0.55000000000000004">
      <c r="A22" s="697"/>
      <c r="B22" s="716"/>
      <c r="C22" s="687" t="s">
        <v>195</v>
      </c>
      <c r="D22" s="687"/>
      <c r="E22" s="687"/>
      <c r="F22" s="87" t="s">
        <v>50</v>
      </c>
      <c r="G22" s="83" t="s">
        <v>50</v>
      </c>
      <c r="H22" s="83" t="s">
        <v>50</v>
      </c>
      <c r="I22" s="83" t="s">
        <v>50</v>
      </c>
      <c r="J22" s="83" t="s">
        <v>50</v>
      </c>
      <c r="K22" s="83" t="s">
        <v>50</v>
      </c>
      <c r="L22" s="83" t="s">
        <v>50</v>
      </c>
      <c r="M22" s="83" t="s">
        <v>50</v>
      </c>
      <c r="N22" s="83" t="s">
        <v>50</v>
      </c>
      <c r="O22" s="83" t="s">
        <v>50</v>
      </c>
      <c r="P22" s="83" t="s">
        <v>50</v>
      </c>
      <c r="Q22" s="83" t="s">
        <v>50</v>
      </c>
      <c r="R22" s="83" t="s">
        <v>50</v>
      </c>
      <c r="S22" s="83" t="s">
        <v>50</v>
      </c>
      <c r="T22" s="83" t="s">
        <v>50</v>
      </c>
      <c r="U22" s="85" t="s">
        <v>50</v>
      </c>
    </row>
    <row r="23" spans="1:21" s="255" customFormat="1" ht="29.15" customHeight="1" x14ac:dyDescent="0.55000000000000004">
      <c r="A23" s="697"/>
      <c r="B23" s="716"/>
      <c r="C23" s="687" t="s">
        <v>196</v>
      </c>
      <c r="D23" s="687"/>
      <c r="E23" s="687"/>
      <c r="F23" s="87" t="s">
        <v>50</v>
      </c>
      <c r="G23" s="83" t="s">
        <v>50</v>
      </c>
      <c r="H23" s="83" t="s">
        <v>50</v>
      </c>
      <c r="I23" s="83" t="s">
        <v>50</v>
      </c>
      <c r="J23" s="83" t="s">
        <v>50</v>
      </c>
      <c r="K23" s="83" t="s">
        <v>50</v>
      </c>
      <c r="L23" s="83" t="s">
        <v>50</v>
      </c>
      <c r="M23" s="83" t="s">
        <v>50</v>
      </c>
      <c r="N23" s="83" t="s">
        <v>50</v>
      </c>
      <c r="O23" s="83" t="s">
        <v>50</v>
      </c>
      <c r="P23" s="83" t="s">
        <v>50</v>
      </c>
      <c r="Q23" s="83" t="s">
        <v>50</v>
      </c>
      <c r="R23" s="83" t="s">
        <v>50</v>
      </c>
      <c r="S23" s="83" t="s">
        <v>50</v>
      </c>
      <c r="T23" s="83" t="s">
        <v>50</v>
      </c>
      <c r="U23" s="85" t="s">
        <v>50</v>
      </c>
    </row>
    <row r="24" spans="1:21" s="255" customFormat="1" ht="29.15" customHeight="1" x14ac:dyDescent="0.55000000000000004">
      <c r="A24" s="697"/>
      <c r="B24" s="716"/>
      <c r="C24" s="687" t="s">
        <v>197</v>
      </c>
      <c r="D24" s="687"/>
      <c r="E24" s="687"/>
      <c r="F24" s="87" t="s">
        <v>50</v>
      </c>
      <c r="G24" s="83" t="s">
        <v>50</v>
      </c>
      <c r="H24" s="83" t="s">
        <v>50</v>
      </c>
      <c r="I24" s="83" t="s">
        <v>50</v>
      </c>
      <c r="J24" s="83" t="s">
        <v>50</v>
      </c>
      <c r="K24" s="83" t="s">
        <v>50</v>
      </c>
      <c r="L24" s="83" t="s">
        <v>50</v>
      </c>
      <c r="M24" s="83" t="s">
        <v>50</v>
      </c>
      <c r="N24" s="83" t="s">
        <v>50</v>
      </c>
      <c r="O24" s="83" t="s">
        <v>50</v>
      </c>
      <c r="P24" s="83" t="s">
        <v>50</v>
      </c>
      <c r="Q24" s="83" t="s">
        <v>50</v>
      </c>
      <c r="R24" s="83" t="s">
        <v>50</v>
      </c>
      <c r="S24" s="83" t="s">
        <v>50</v>
      </c>
      <c r="T24" s="83" t="s">
        <v>50</v>
      </c>
      <c r="U24" s="85" t="s">
        <v>50</v>
      </c>
    </row>
    <row r="25" spans="1:21" s="255" customFormat="1" ht="29.15" customHeight="1" x14ac:dyDescent="0.55000000000000004">
      <c r="A25" s="697"/>
      <c r="B25" s="716"/>
      <c r="C25" s="687" t="s">
        <v>198</v>
      </c>
      <c r="D25" s="687"/>
      <c r="E25" s="687"/>
      <c r="F25" s="87" t="s">
        <v>50</v>
      </c>
      <c r="G25" s="83" t="s">
        <v>50</v>
      </c>
      <c r="H25" s="83" t="s">
        <v>50</v>
      </c>
      <c r="I25" s="83" t="s">
        <v>50</v>
      </c>
      <c r="J25" s="83" t="s">
        <v>50</v>
      </c>
      <c r="K25" s="83" t="s">
        <v>50</v>
      </c>
      <c r="L25" s="83" t="s">
        <v>50</v>
      </c>
      <c r="M25" s="83" t="s">
        <v>50</v>
      </c>
      <c r="N25" s="83" t="s">
        <v>50</v>
      </c>
      <c r="O25" s="83" t="s">
        <v>50</v>
      </c>
      <c r="P25" s="83" t="s">
        <v>50</v>
      </c>
      <c r="Q25" s="83" t="s">
        <v>50</v>
      </c>
      <c r="R25" s="83" t="s">
        <v>50</v>
      </c>
      <c r="S25" s="83" t="s">
        <v>50</v>
      </c>
      <c r="T25" s="83" t="s">
        <v>50</v>
      </c>
      <c r="U25" s="85" t="s">
        <v>50</v>
      </c>
    </row>
    <row r="26" spans="1:21" s="255" customFormat="1" ht="29.15" customHeight="1" x14ac:dyDescent="0.55000000000000004">
      <c r="A26" s="697"/>
      <c r="B26" s="716"/>
      <c r="C26" s="687" t="s">
        <v>199</v>
      </c>
      <c r="D26" s="687"/>
      <c r="E26" s="687"/>
      <c r="F26" s="87" t="s">
        <v>50</v>
      </c>
      <c r="G26" s="83" t="s">
        <v>50</v>
      </c>
      <c r="H26" s="83" t="s">
        <v>50</v>
      </c>
      <c r="I26" s="83" t="s">
        <v>50</v>
      </c>
      <c r="J26" s="83" t="s">
        <v>50</v>
      </c>
      <c r="K26" s="83" t="s">
        <v>50</v>
      </c>
      <c r="L26" s="83" t="s">
        <v>50</v>
      </c>
      <c r="M26" s="83" t="s">
        <v>50</v>
      </c>
      <c r="N26" s="83" t="s">
        <v>50</v>
      </c>
      <c r="O26" s="83" t="s">
        <v>50</v>
      </c>
      <c r="P26" s="83" t="s">
        <v>50</v>
      </c>
      <c r="Q26" s="83" t="s">
        <v>50</v>
      </c>
      <c r="R26" s="83" t="s">
        <v>50</v>
      </c>
      <c r="S26" s="83" t="s">
        <v>50</v>
      </c>
      <c r="T26" s="83" t="s">
        <v>50</v>
      </c>
      <c r="U26" s="85" t="s">
        <v>50</v>
      </c>
    </row>
    <row r="27" spans="1:21" s="255" customFormat="1" ht="29.15" customHeight="1" x14ac:dyDescent="0.55000000000000004">
      <c r="A27" s="697"/>
      <c r="B27" s="716"/>
      <c r="C27" s="687" t="s">
        <v>200</v>
      </c>
      <c r="D27" s="687"/>
      <c r="E27" s="687"/>
      <c r="F27" s="87" t="s">
        <v>50</v>
      </c>
      <c r="G27" s="83" t="s">
        <v>50</v>
      </c>
      <c r="H27" s="83" t="s">
        <v>50</v>
      </c>
      <c r="I27" s="83" t="s">
        <v>50</v>
      </c>
      <c r="J27" s="83" t="s">
        <v>50</v>
      </c>
      <c r="K27" s="83" t="s">
        <v>50</v>
      </c>
      <c r="L27" s="83" t="s">
        <v>50</v>
      </c>
      <c r="M27" s="83" t="s">
        <v>50</v>
      </c>
      <c r="N27" s="83" t="s">
        <v>50</v>
      </c>
      <c r="O27" s="83" t="s">
        <v>50</v>
      </c>
      <c r="P27" s="83" t="s">
        <v>50</v>
      </c>
      <c r="Q27" s="83" t="s">
        <v>50</v>
      </c>
      <c r="R27" s="83" t="s">
        <v>50</v>
      </c>
      <c r="S27" s="83" t="s">
        <v>50</v>
      </c>
      <c r="T27" s="83" t="s">
        <v>50</v>
      </c>
      <c r="U27" s="85" t="s">
        <v>50</v>
      </c>
    </row>
    <row r="28" spans="1:21" s="255" customFormat="1" ht="29.15" customHeight="1" x14ac:dyDescent="0.55000000000000004">
      <c r="A28" s="697"/>
      <c r="B28" s="716"/>
      <c r="C28" s="687" t="s">
        <v>201</v>
      </c>
      <c r="D28" s="687"/>
      <c r="E28" s="687"/>
      <c r="F28" s="87" t="s">
        <v>50</v>
      </c>
      <c r="G28" s="83" t="s">
        <v>50</v>
      </c>
      <c r="H28" s="83" t="s">
        <v>50</v>
      </c>
      <c r="I28" s="83" t="s">
        <v>50</v>
      </c>
      <c r="J28" s="83" t="s">
        <v>50</v>
      </c>
      <c r="K28" s="83" t="s">
        <v>50</v>
      </c>
      <c r="L28" s="83" t="s">
        <v>50</v>
      </c>
      <c r="M28" s="83" t="s">
        <v>50</v>
      </c>
      <c r="N28" s="83" t="s">
        <v>50</v>
      </c>
      <c r="O28" s="83" t="s">
        <v>50</v>
      </c>
      <c r="P28" s="83" t="s">
        <v>50</v>
      </c>
      <c r="Q28" s="83" t="s">
        <v>50</v>
      </c>
      <c r="R28" s="83" t="s">
        <v>50</v>
      </c>
      <c r="S28" s="83" t="s">
        <v>50</v>
      </c>
      <c r="T28" s="83" t="s">
        <v>50</v>
      </c>
      <c r="U28" s="85" t="s">
        <v>50</v>
      </c>
    </row>
    <row r="29" spans="1:21" s="255" customFormat="1" ht="29.15" customHeight="1" x14ac:dyDescent="0.55000000000000004">
      <c r="A29" s="697"/>
      <c r="B29" s="716"/>
      <c r="C29" s="687" t="s">
        <v>202</v>
      </c>
      <c r="D29" s="687"/>
      <c r="E29" s="687"/>
      <c r="F29" s="87" t="s">
        <v>50</v>
      </c>
      <c r="G29" s="83" t="s">
        <v>50</v>
      </c>
      <c r="H29" s="83" t="s">
        <v>50</v>
      </c>
      <c r="I29" s="83" t="s">
        <v>50</v>
      </c>
      <c r="J29" s="83" t="s">
        <v>50</v>
      </c>
      <c r="K29" s="83" t="s">
        <v>50</v>
      </c>
      <c r="L29" s="83" t="s">
        <v>50</v>
      </c>
      <c r="M29" s="83" t="s">
        <v>50</v>
      </c>
      <c r="N29" s="83" t="s">
        <v>50</v>
      </c>
      <c r="O29" s="83" t="s">
        <v>50</v>
      </c>
      <c r="P29" s="83" t="s">
        <v>50</v>
      </c>
      <c r="Q29" s="83" t="s">
        <v>50</v>
      </c>
      <c r="R29" s="83" t="s">
        <v>50</v>
      </c>
      <c r="S29" s="83" t="s">
        <v>50</v>
      </c>
      <c r="T29" s="83" t="s">
        <v>50</v>
      </c>
      <c r="U29" s="85" t="s">
        <v>50</v>
      </c>
    </row>
    <row r="30" spans="1:21" s="255" customFormat="1" ht="29.15" customHeight="1" x14ac:dyDescent="0.55000000000000004">
      <c r="A30" s="697"/>
      <c r="B30" s="716"/>
      <c r="C30" s="687" t="s">
        <v>203</v>
      </c>
      <c r="D30" s="687"/>
      <c r="E30" s="687"/>
      <c r="F30" s="87" t="s">
        <v>50</v>
      </c>
      <c r="G30" s="83" t="s">
        <v>50</v>
      </c>
      <c r="H30" s="83" t="s">
        <v>50</v>
      </c>
      <c r="I30" s="83" t="s">
        <v>50</v>
      </c>
      <c r="J30" s="83" t="s">
        <v>50</v>
      </c>
      <c r="K30" s="83" t="s">
        <v>50</v>
      </c>
      <c r="L30" s="83" t="s">
        <v>50</v>
      </c>
      <c r="M30" s="83" t="s">
        <v>50</v>
      </c>
      <c r="N30" s="83" t="s">
        <v>50</v>
      </c>
      <c r="O30" s="83" t="s">
        <v>50</v>
      </c>
      <c r="P30" s="83" t="s">
        <v>50</v>
      </c>
      <c r="Q30" s="83" t="s">
        <v>50</v>
      </c>
      <c r="R30" s="83" t="s">
        <v>50</v>
      </c>
      <c r="S30" s="83" t="s">
        <v>50</v>
      </c>
      <c r="T30" s="83" t="s">
        <v>50</v>
      </c>
      <c r="U30" s="85" t="s">
        <v>50</v>
      </c>
    </row>
    <row r="31" spans="1:21" s="255" customFormat="1" ht="29.15" customHeight="1" x14ac:dyDescent="0.55000000000000004">
      <c r="A31" s="697"/>
      <c r="B31" s="713" t="s">
        <v>207</v>
      </c>
      <c r="C31" s="713" t="s">
        <v>185</v>
      </c>
      <c r="D31" s="716" t="s">
        <v>186</v>
      </c>
      <c r="E31" s="241" t="s">
        <v>192</v>
      </c>
      <c r="F31" s="87">
        <v>30</v>
      </c>
      <c r="G31" s="83" t="s">
        <v>50</v>
      </c>
      <c r="H31" s="83">
        <v>32</v>
      </c>
      <c r="I31" s="83" t="s">
        <v>50</v>
      </c>
      <c r="J31" s="83">
        <v>33</v>
      </c>
      <c r="K31" s="83" t="s">
        <v>50</v>
      </c>
      <c r="L31" s="83">
        <v>36</v>
      </c>
      <c r="M31" s="83" t="s">
        <v>50</v>
      </c>
      <c r="N31" s="83">
        <v>38</v>
      </c>
      <c r="O31" s="83" t="s">
        <v>50</v>
      </c>
      <c r="P31" s="83">
        <v>34</v>
      </c>
      <c r="Q31" s="83" t="s">
        <v>50</v>
      </c>
      <c r="R31" s="83">
        <v>49</v>
      </c>
      <c r="S31" s="83" t="s">
        <v>50</v>
      </c>
      <c r="T31" s="83">
        <v>39</v>
      </c>
      <c r="U31" s="85" t="s">
        <v>50</v>
      </c>
    </row>
    <row r="32" spans="1:21" s="255" customFormat="1" ht="29.15" customHeight="1" x14ac:dyDescent="0.55000000000000004">
      <c r="A32" s="697"/>
      <c r="B32" s="714"/>
      <c r="C32" s="714"/>
      <c r="D32" s="716"/>
      <c r="E32" s="241" t="s">
        <v>193</v>
      </c>
      <c r="F32" s="87">
        <v>17</v>
      </c>
      <c r="G32" s="83" t="s">
        <v>50</v>
      </c>
      <c r="H32" s="83">
        <v>14</v>
      </c>
      <c r="I32" s="83" t="s">
        <v>50</v>
      </c>
      <c r="J32" s="83">
        <v>12</v>
      </c>
      <c r="K32" s="83" t="s">
        <v>50</v>
      </c>
      <c r="L32" s="83">
        <v>13</v>
      </c>
      <c r="M32" s="83" t="s">
        <v>50</v>
      </c>
      <c r="N32" s="83">
        <v>10</v>
      </c>
      <c r="O32" s="83" t="s">
        <v>50</v>
      </c>
      <c r="P32" s="83">
        <v>9</v>
      </c>
      <c r="Q32" s="83" t="s">
        <v>50</v>
      </c>
      <c r="R32" s="83">
        <v>7</v>
      </c>
      <c r="S32" s="83" t="s">
        <v>50</v>
      </c>
      <c r="T32" s="83">
        <v>5</v>
      </c>
      <c r="U32" s="85" t="s">
        <v>50</v>
      </c>
    </row>
    <row r="33" spans="1:21" s="255" customFormat="1" ht="29.15" customHeight="1" x14ac:dyDescent="0.55000000000000004">
      <c r="A33" s="697"/>
      <c r="B33" s="714"/>
      <c r="C33" s="714"/>
      <c r="D33" s="716"/>
      <c r="E33" s="241" t="s">
        <v>194</v>
      </c>
      <c r="F33" s="87" t="s">
        <v>50</v>
      </c>
      <c r="G33" s="83" t="s">
        <v>50</v>
      </c>
      <c r="H33" s="83" t="s">
        <v>50</v>
      </c>
      <c r="I33" s="83" t="s">
        <v>50</v>
      </c>
      <c r="J33" s="83" t="s">
        <v>50</v>
      </c>
      <c r="K33" s="83" t="s">
        <v>50</v>
      </c>
      <c r="L33" s="83" t="s">
        <v>50</v>
      </c>
      <c r="M33" s="83" t="s">
        <v>50</v>
      </c>
      <c r="N33" s="83" t="s">
        <v>50</v>
      </c>
      <c r="O33" s="83" t="s">
        <v>50</v>
      </c>
      <c r="P33" s="83">
        <v>9</v>
      </c>
      <c r="Q33" s="83" t="s">
        <v>50</v>
      </c>
      <c r="R33" s="83" t="s">
        <v>50</v>
      </c>
      <c r="S33" s="83" t="s">
        <v>50</v>
      </c>
      <c r="T33" s="83">
        <v>7</v>
      </c>
      <c r="U33" s="85" t="s">
        <v>50</v>
      </c>
    </row>
    <row r="34" spans="1:21" s="255" customFormat="1" ht="29.15" customHeight="1" x14ac:dyDescent="0.55000000000000004">
      <c r="A34" s="697"/>
      <c r="B34" s="714"/>
      <c r="C34" s="714"/>
      <c r="D34" s="716"/>
      <c r="E34" s="241" t="s">
        <v>195</v>
      </c>
      <c r="F34" s="87" t="s">
        <v>50</v>
      </c>
      <c r="G34" s="83" t="s">
        <v>50</v>
      </c>
      <c r="H34" s="83" t="s">
        <v>50</v>
      </c>
      <c r="I34" s="83" t="s">
        <v>50</v>
      </c>
      <c r="J34" s="83" t="s">
        <v>50</v>
      </c>
      <c r="K34" s="83" t="s">
        <v>50</v>
      </c>
      <c r="L34" s="83" t="s">
        <v>50</v>
      </c>
      <c r="M34" s="83" t="s">
        <v>50</v>
      </c>
      <c r="N34" s="83" t="s">
        <v>50</v>
      </c>
      <c r="O34" s="83" t="s">
        <v>50</v>
      </c>
      <c r="P34" s="83" t="s">
        <v>50</v>
      </c>
      <c r="Q34" s="83" t="s">
        <v>50</v>
      </c>
      <c r="R34" s="83" t="s">
        <v>50</v>
      </c>
      <c r="S34" s="83" t="s">
        <v>50</v>
      </c>
      <c r="T34" s="83" t="s">
        <v>50</v>
      </c>
      <c r="U34" s="85" t="s">
        <v>50</v>
      </c>
    </row>
    <row r="35" spans="1:21" s="255" customFormat="1" ht="29.15" customHeight="1" x14ac:dyDescent="0.55000000000000004">
      <c r="A35" s="697"/>
      <c r="B35" s="714"/>
      <c r="C35" s="714"/>
      <c r="D35" s="716"/>
      <c r="E35" s="241" t="s">
        <v>196</v>
      </c>
      <c r="F35" s="87" t="s">
        <v>50</v>
      </c>
      <c r="G35" s="83" t="s">
        <v>50</v>
      </c>
      <c r="H35" s="83" t="s">
        <v>50</v>
      </c>
      <c r="I35" s="83" t="s">
        <v>50</v>
      </c>
      <c r="J35" s="83" t="s">
        <v>50</v>
      </c>
      <c r="K35" s="83" t="s">
        <v>50</v>
      </c>
      <c r="L35" s="83" t="s">
        <v>50</v>
      </c>
      <c r="M35" s="83" t="s">
        <v>50</v>
      </c>
      <c r="N35" s="83" t="s">
        <v>50</v>
      </c>
      <c r="O35" s="83" t="s">
        <v>50</v>
      </c>
      <c r="P35" s="83" t="s">
        <v>50</v>
      </c>
      <c r="Q35" s="83" t="s">
        <v>50</v>
      </c>
      <c r="R35" s="83" t="s">
        <v>50</v>
      </c>
      <c r="S35" s="83" t="s">
        <v>50</v>
      </c>
      <c r="T35" s="83" t="s">
        <v>50</v>
      </c>
      <c r="U35" s="85" t="s">
        <v>50</v>
      </c>
    </row>
    <row r="36" spans="1:21" s="255" customFormat="1" ht="29.15" customHeight="1" x14ac:dyDescent="0.55000000000000004">
      <c r="A36" s="697"/>
      <c r="B36" s="714"/>
      <c r="C36" s="714"/>
      <c r="D36" s="716"/>
      <c r="E36" s="241" t="s">
        <v>197</v>
      </c>
      <c r="F36" s="87" t="s">
        <v>50</v>
      </c>
      <c r="G36" s="83" t="s">
        <v>50</v>
      </c>
      <c r="H36" s="83" t="s">
        <v>50</v>
      </c>
      <c r="I36" s="83" t="s">
        <v>50</v>
      </c>
      <c r="J36" s="83" t="s">
        <v>50</v>
      </c>
      <c r="K36" s="83" t="s">
        <v>50</v>
      </c>
      <c r="L36" s="83" t="s">
        <v>50</v>
      </c>
      <c r="M36" s="83" t="s">
        <v>50</v>
      </c>
      <c r="N36" s="83" t="s">
        <v>50</v>
      </c>
      <c r="O36" s="83" t="s">
        <v>50</v>
      </c>
      <c r="P36" s="83" t="s">
        <v>50</v>
      </c>
      <c r="Q36" s="83" t="s">
        <v>50</v>
      </c>
      <c r="R36" s="83" t="s">
        <v>50</v>
      </c>
      <c r="S36" s="83" t="s">
        <v>50</v>
      </c>
      <c r="T36" s="83" t="s">
        <v>50</v>
      </c>
      <c r="U36" s="85" t="s">
        <v>50</v>
      </c>
    </row>
    <row r="37" spans="1:21" s="255" customFormat="1" ht="29.15" customHeight="1" x14ac:dyDescent="0.55000000000000004">
      <c r="A37" s="697"/>
      <c r="B37" s="714"/>
      <c r="C37" s="714"/>
      <c r="D37" s="716"/>
      <c r="E37" s="241" t="s">
        <v>198</v>
      </c>
      <c r="F37" s="87" t="s">
        <v>50</v>
      </c>
      <c r="G37" s="83" t="s">
        <v>50</v>
      </c>
      <c r="H37" s="83" t="s">
        <v>50</v>
      </c>
      <c r="I37" s="83" t="s">
        <v>50</v>
      </c>
      <c r="J37" s="83" t="s">
        <v>50</v>
      </c>
      <c r="K37" s="83" t="s">
        <v>50</v>
      </c>
      <c r="L37" s="83" t="s">
        <v>50</v>
      </c>
      <c r="M37" s="83" t="s">
        <v>50</v>
      </c>
      <c r="N37" s="83" t="s">
        <v>50</v>
      </c>
      <c r="O37" s="83" t="s">
        <v>50</v>
      </c>
      <c r="P37" s="83" t="s">
        <v>50</v>
      </c>
      <c r="Q37" s="83" t="s">
        <v>50</v>
      </c>
      <c r="R37" s="83" t="s">
        <v>50</v>
      </c>
      <c r="S37" s="83" t="s">
        <v>50</v>
      </c>
      <c r="T37" s="83" t="s">
        <v>50</v>
      </c>
      <c r="U37" s="85" t="s">
        <v>50</v>
      </c>
    </row>
    <row r="38" spans="1:21" s="255" customFormat="1" ht="29.15" customHeight="1" x14ac:dyDescent="0.55000000000000004">
      <c r="A38" s="697"/>
      <c r="B38" s="714"/>
      <c r="C38" s="714"/>
      <c r="D38" s="716"/>
      <c r="E38" s="241" t="s">
        <v>199</v>
      </c>
      <c r="F38" s="87" t="s">
        <v>50</v>
      </c>
      <c r="G38" s="83" t="s">
        <v>50</v>
      </c>
      <c r="H38" s="83" t="s">
        <v>50</v>
      </c>
      <c r="I38" s="83" t="s">
        <v>50</v>
      </c>
      <c r="J38" s="83" t="s">
        <v>50</v>
      </c>
      <c r="K38" s="83" t="s">
        <v>50</v>
      </c>
      <c r="L38" s="83" t="s">
        <v>50</v>
      </c>
      <c r="M38" s="83" t="s">
        <v>50</v>
      </c>
      <c r="N38" s="83" t="s">
        <v>50</v>
      </c>
      <c r="O38" s="83" t="s">
        <v>50</v>
      </c>
      <c r="P38" s="83" t="s">
        <v>50</v>
      </c>
      <c r="Q38" s="83" t="s">
        <v>50</v>
      </c>
      <c r="R38" s="83" t="s">
        <v>50</v>
      </c>
      <c r="S38" s="83" t="s">
        <v>50</v>
      </c>
      <c r="T38" s="83" t="s">
        <v>50</v>
      </c>
      <c r="U38" s="85" t="s">
        <v>50</v>
      </c>
    </row>
    <row r="39" spans="1:21" s="255" customFormat="1" ht="29.15" customHeight="1" x14ac:dyDescent="0.55000000000000004">
      <c r="A39" s="697"/>
      <c r="B39" s="714"/>
      <c r="C39" s="714"/>
      <c r="D39" s="716"/>
      <c r="E39" s="241" t="s">
        <v>200</v>
      </c>
      <c r="F39" s="87" t="s">
        <v>50</v>
      </c>
      <c r="G39" s="83" t="s">
        <v>50</v>
      </c>
      <c r="H39" s="83" t="s">
        <v>50</v>
      </c>
      <c r="I39" s="83" t="s">
        <v>50</v>
      </c>
      <c r="J39" s="83" t="s">
        <v>50</v>
      </c>
      <c r="K39" s="83" t="s">
        <v>50</v>
      </c>
      <c r="L39" s="83" t="s">
        <v>50</v>
      </c>
      <c r="M39" s="83" t="s">
        <v>50</v>
      </c>
      <c r="N39" s="83" t="s">
        <v>50</v>
      </c>
      <c r="O39" s="83" t="s">
        <v>50</v>
      </c>
      <c r="P39" s="83" t="s">
        <v>50</v>
      </c>
      <c r="Q39" s="83" t="s">
        <v>50</v>
      </c>
      <c r="R39" s="83" t="s">
        <v>50</v>
      </c>
      <c r="S39" s="83" t="s">
        <v>50</v>
      </c>
      <c r="T39" s="83" t="s">
        <v>50</v>
      </c>
      <c r="U39" s="85" t="s">
        <v>50</v>
      </c>
    </row>
    <row r="40" spans="1:21" s="255" customFormat="1" ht="29.15" customHeight="1" x14ac:dyDescent="0.55000000000000004">
      <c r="A40" s="697"/>
      <c r="B40" s="714"/>
      <c r="C40" s="714"/>
      <c r="D40" s="716"/>
      <c r="E40" s="241" t="s">
        <v>201</v>
      </c>
      <c r="F40" s="87" t="s">
        <v>50</v>
      </c>
      <c r="G40" s="83" t="s">
        <v>50</v>
      </c>
      <c r="H40" s="83" t="s">
        <v>50</v>
      </c>
      <c r="I40" s="83" t="s">
        <v>50</v>
      </c>
      <c r="J40" s="83" t="s">
        <v>50</v>
      </c>
      <c r="K40" s="83" t="s">
        <v>50</v>
      </c>
      <c r="L40" s="83" t="s">
        <v>50</v>
      </c>
      <c r="M40" s="83" t="s">
        <v>50</v>
      </c>
      <c r="N40" s="83" t="s">
        <v>50</v>
      </c>
      <c r="O40" s="83" t="s">
        <v>50</v>
      </c>
      <c r="P40" s="83" t="s">
        <v>50</v>
      </c>
      <c r="Q40" s="83" t="s">
        <v>50</v>
      </c>
      <c r="R40" s="83" t="s">
        <v>50</v>
      </c>
      <c r="S40" s="83" t="s">
        <v>50</v>
      </c>
      <c r="T40" s="83" t="s">
        <v>50</v>
      </c>
      <c r="U40" s="85" t="s">
        <v>50</v>
      </c>
    </row>
    <row r="41" spans="1:21" s="255" customFormat="1" ht="29.15" customHeight="1" x14ac:dyDescent="0.55000000000000004">
      <c r="A41" s="697"/>
      <c r="B41" s="714"/>
      <c r="C41" s="714"/>
      <c r="D41" s="716"/>
      <c r="E41" s="241" t="s">
        <v>202</v>
      </c>
      <c r="F41" s="87" t="s">
        <v>50</v>
      </c>
      <c r="G41" s="83" t="s">
        <v>50</v>
      </c>
      <c r="H41" s="83" t="s">
        <v>50</v>
      </c>
      <c r="I41" s="83" t="s">
        <v>50</v>
      </c>
      <c r="J41" s="83" t="s">
        <v>50</v>
      </c>
      <c r="K41" s="83" t="s">
        <v>50</v>
      </c>
      <c r="L41" s="83" t="s">
        <v>50</v>
      </c>
      <c r="M41" s="83" t="s">
        <v>50</v>
      </c>
      <c r="N41" s="83" t="s">
        <v>50</v>
      </c>
      <c r="O41" s="83" t="s">
        <v>50</v>
      </c>
      <c r="P41" s="83" t="s">
        <v>50</v>
      </c>
      <c r="Q41" s="83" t="s">
        <v>50</v>
      </c>
      <c r="R41" s="83" t="s">
        <v>50</v>
      </c>
      <c r="S41" s="83" t="s">
        <v>50</v>
      </c>
      <c r="T41" s="83" t="s">
        <v>50</v>
      </c>
      <c r="U41" s="85" t="s">
        <v>50</v>
      </c>
    </row>
    <row r="42" spans="1:21" s="255" customFormat="1" ht="29.15" customHeight="1" x14ac:dyDescent="0.55000000000000004">
      <c r="A42" s="697"/>
      <c r="B42" s="718"/>
      <c r="C42" s="718"/>
      <c r="D42" s="716"/>
      <c r="E42" s="241" t="s">
        <v>203</v>
      </c>
      <c r="F42" s="87" t="s">
        <v>50</v>
      </c>
      <c r="G42" s="83" t="s">
        <v>50</v>
      </c>
      <c r="H42" s="83" t="s">
        <v>50</v>
      </c>
      <c r="I42" s="83" t="s">
        <v>50</v>
      </c>
      <c r="J42" s="83" t="s">
        <v>50</v>
      </c>
      <c r="K42" s="83" t="s">
        <v>50</v>
      </c>
      <c r="L42" s="83" t="s">
        <v>50</v>
      </c>
      <c r="M42" s="83" t="s">
        <v>50</v>
      </c>
      <c r="N42" s="83" t="s">
        <v>50</v>
      </c>
      <c r="O42" s="83" t="s">
        <v>50</v>
      </c>
      <c r="P42" s="83" t="s">
        <v>50</v>
      </c>
      <c r="Q42" s="83" t="s">
        <v>50</v>
      </c>
      <c r="R42" s="83" t="s">
        <v>50</v>
      </c>
      <c r="S42" s="83" t="s">
        <v>50</v>
      </c>
      <c r="T42" s="83" t="s">
        <v>50</v>
      </c>
      <c r="U42" s="85" t="s">
        <v>50</v>
      </c>
    </row>
    <row r="43" spans="1:21" s="255" customFormat="1" ht="29.15" customHeight="1" x14ac:dyDescent="0.55000000000000004">
      <c r="A43" s="697"/>
      <c r="B43" s="713" t="s">
        <v>223</v>
      </c>
      <c r="C43" s="713" t="s">
        <v>221</v>
      </c>
      <c r="D43" s="716" t="s">
        <v>187</v>
      </c>
      <c r="E43" s="241" t="s">
        <v>192</v>
      </c>
      <c r="F43" s="87">
        <v>1021</v>
      </c>
      <c r="G43" s="83">
        <v>33</v>
      </c>
      <c r="H43" s="83">
        <v>1218</v>
      </c>
      <c r="I43" s="83">
        <v>37</v>
      </c>
      <c r="J43" s="83">
        <v>1333</v>
      </c>
      <c r="K43" s="83">
        <v>65</v>
      </c>
      <c r="L43" s="83">
        <v>1581</v>
      </c>
      <c r="M43" s="83">
        <v>65</v>
      </c>
      <c r="N43" s="83">
        <v>1819</v>
      </c>
      <c r="O43" s="83">
        <v>71</v>
      </c>
      <c r="P43" s="83">
        <v>2071</v>
      </c>
      <c r="Q43" s="83">
        <v>75</v>
      </c>
      <c r="R43" s="83">
        <v>2342</v>
      </c>
      <c r="S43" s="83">
        <v>81</v>
      </c>
      <c r="T43" s="83">
        <v>2553</v>
      </c>
      <c r="U43" s="85">
        <v>92</v>
      </c>
    </row>
    <row r="44" spans="1:21" s="255" customFormat="1" ht="29.15" customHeight="1" x14ac:dyDescent="0.55000000000000004">
      <c r="A44" s="697"/>
      <c r="B44" s="714"/>
      <c r="C44" s="714"/>
      <c r="D44" s="716"/>
      <c r="E44" s="241" t="s">
        <v>193</v>
      </c>
      <c r="F44" s="87">
        <v>2156</v>
      </c>
      <c r="G44" s="83">
        <v>109</v>
      </c>
      <c r="H44" s="83">
        <v>2038</v>
      </c>
      <c r="I44" s="83">
        <v>103</v>
      </c>
      <c r="J44" s="83">
        <v>1643</v>
      </c>
      <c r="K44" s="83">
        <v>155</v>
      </c>
      <c r="L44" s="83">
        <v>1301</v>
      </c>
      <c r="M44" s="83">
        <v>92</v>
      </c>
      <c r="N44" s="83">
        <v>1029</v>
      </c>
      <c r="O44" s="83">
        <v>83</v>
      </c>
      <c r="P44" s="83">
        <v>762</v>
      </c>
      <c r="Q44" s="83">
        <v>72</v>
      </c>
      <c r="R44" s="83">
        <v>506</v>
      </c>
      <c r="S44" s="83">
        <v>53</v>
      </c>
      <c r="T44" s="83">
        <v>244</v>
      </c>
      <c r="U44" s="85">
        <v>25</v>
      </c>
    </row>
    <row r="45" spans="1:21" s="255" customFormat="1" ht="29.15" customHeight="1" x14ac:dyDescent="0.55000000000000004">
      <c r="A45" s="697"/>
      <c r="B45" s="714"/>
      <c r="C45" s="714"/>
      <c r="D45" s="716"/>
      <c r="E45" s="241" t="s">
        <v>194</v>
      </c>
      <c r="F45" s="87">
        <v>1036</v>
      </c>
      <c r="G45" s="83">
        <v>16</v>
      </c>
      <c r="H45" s="83">
        <v>975</v>
      </c>
      <c r="I45" s="83">
        <v>21</v>
      </c>
      <c r="J45" s="83">
        <v>878</v>
      </c>
      <c r="K45" s="83">
        <v>31</v>
      </c>
      <c r="L45" s="83">
        <v>814</v>
      </c>
      <c r="M45" s="83">
        <v>22</v>
      </c>
      <c r="N45" s="83">
        <v>766</v>
      </c>
      <c r="O45" s="83">
        <v>21</v>
      </c>
      <c r="P45" s="83">
        <v>741</v>
      </c>
      <c r="Q45" s="83">
        <v>25</v>
      </c>
      <c r="R45" s="83">
        <v>679</v>
      </c>
      <c r="S45" s="83">
        <v>25</v>
      </c>
      <c r="T45" s="83">
        <v>612</v>
      </c>
      <c r="U45" s="85">
        <v>30</v>
      </c>
    </row>
    <row r="46" spans="1:21" s="255" customFormat="1" ht="29.15" customHeight="1" x14ac:dyDescent="0.55000000000000004">
      <c r="A46" s="697"/>
      <c r="B46" s="714"/>
      <c r="C46" s="714"/>
      <c r="D46" s="716"/>
      <c r="E46" s="241" t="s">
        <v>195</v>
      </c>
      <c r="F46" s="87" t="s">
        <v>50</v>
      </c>
      <c r="G46" s="83" t="s">
        <v>50</v>
      </c>
      <c r="H46" s="83" t="s">
        <v>50</v>
      </c>
      <c r="I46" s="83" t="s">
        <v>50</v>
      </c>
      <c r="J46" s="83" t="s">
        <v>50</v>
      </c>
      <c r="K46" s="83" t="s">
        <v>50</v>
      </c>
      <c r="L46" s="83" t="s">
        <v>50</v>
      </c>
      <c r="M46" s="83" t="s">
        <v>50</v>
      </c>
      <c r="N46" s="83" t="s">
        <v>50</v>
      </c>
      <c r="O46" s="83" t="s">
        <v>50</v>
      </c>
      <c r="P46" s="83" t="s">
        <v>50</v>
      </c>
      <c r="Q46" s="83" t="s">
        <v>50</v>
      </c>
      <c r="R46" s="83" t="s">
        <v>50</v>
      </c>
      <c r="S46" s="83" t="s">
        <v>50</v>
      </c>
      <c r="T46" s="83" t="s">
        <v>50</v>
      </c>
      <c r="U46" s="85" t="s">
        <v>50</v>
      </c>
    </row>
    <row r="47" spans="1:21" s="255" customFormat="1" ht="29.15" customHeight="1" x14ac:dyDescent="0.55000000000000004">
      <c r="A47" s="697"/>
      <c r="B47" s="714"/>
      <c r="C47" s="714"/>
      <c r="D47" s="716"/>
      <c r="E47" s="241" t="s">
        <v>196</v>
      </c>
      <c r="F47" s="87" t="s">
        <v>50</v>
      </c>
      <c r="G47" s="83" t="s">
        <v>50</v>
      </c>
      <c r="H47" s="83" t="s">
        <v>50</v>
      </c>
      <c r="I47" s="83" t="s">
        <v>50</v>
      </c>
      <c r="J47" s="83" t="s">
        <v>50</v>
      </c>
      <c r="K47" s="83" t="s">
        <v>50</v>
      </c>
      <c r="L47" s="83">
        <v>9</v>
      </c>
      <c r="M47" s="83" t="s">
        <v>50</v>
      </c>
      <c r="N47" s="83">
        <v>12</v>
      </c>
      <c r="O47" s="83">
        <v>12</v>
      </c>
      <c r="P47" s="83">
        <v>20</v>
      </c>
      <c r="Q47" s="83">
        <v>10</v>
      </c>
      <c r="R47" s="83">
        <v>26</v>
      </c>
      <c r="S47" s="83">
        <v>12</v>
      </c>
      <c r="T47" s="83">
        <v>48</v>
      </c>
      <c r="U47" s="85">
        <v>28</v>
      </c>
    </row>
    <row r="48" spans="1:21" s="255" customFormat="1" ht="29.15" customHeight="1" x14ac:dyDescent="0.55000000000000004">
      <c r="A48" s="697"/>
      <c r="B48" s="714"/>
      <c r="C48" s="714"/>
      <c r="D48" s="716"/>
      <c r="E48" s="241" t="s">
        <v>197</v>
      </c>
      <c r="F48" s="87" t="s">
        <v>50</v>
      </c>
      <c r="G48" s="83" t="s">
        <v>50</v>
      </c>
      <c r="H48" s="83" t="s">
        <v>50</v>
      </c>
      <c r="I48" s="83" t="s">
        <v>50</v>
      </c>
      <c r="J48" s="83" t="s">
        <v>50</v>
      </c>
      <c r="K48" s="83" t="s">
        <v>50</v>
      </c>
      <c r="L48" s="83">
        <v>69</v>
      </c>
      <c r="M48" s="83">
        <v>13</v>
      </c>
      <c r="N48" s="83">
        <v>51</v>
      </c>
      <c r="O48" s="83" t="s">
        <v>50</v>
      </c>
      <c r="P48" s="83">
        <v>43</v>
      </c>
      <c r="Q48" s="83">
        <v>1</v>
      </c>
      <c r="R48" s="83">
        <v>43</v>
      </c>
      <c r="S48" s="83">
        <v>6</v>
      </c>
      <c r="T48" s="83">
        <v>42</v>
      </c>
      <c r="U48" s="85" t="s">
        <v>50</v>
      </c>
    </row>
    <row r="49" spans="1:21" s="255" customFormat="1" ht="29.15" customHeight="1" x14ac:dyDescent="0.55000000000000004">
      <c r="A49" s="697"/>
      <c r="B49" s="714"/>
      <c r="C49" s="714"/>
      <c r="D49" s="716"/>
      <c r="E49" s="241" t="s">
        <v>198</v>
      </c>
      <c r="F49" s="87">
        <v>3</v>
      </c>
      <c r="G49" s="83" t="s">
        <v>50</v>
      </c>
      <c r="H49" s="83">
        <v>3</v>
      </c>
      <c r="I49" s="83">
        <v>1</v>
      </c>
      <c r="J49" s="83">
        <v>3</v>
      </c>
      <c r="K49" s="83">
        <v>1</v>
      </c>
      <c r="L49" s="83">
        <v>3</v>
      </c>
      <c r="M49" s="83">
        <v>1</v>
      </c>
      <c r="N49" s="83">
        <v>3</v>
      </c>
      <c r="O49" s="83">
        <v>1</v>
      </c>
      <c r="P49" s="83">
        <v>3</v>
      </c>
      <c r="Q49" s="83">
        <v>1</v>
      </c>
      <c r="R49" s="83">
        <v>3</v>
      </c>
      <c r="S49" s="83">
        <v>1</v>
      </c>
      <c r="T49" s="83">
        <v>5</v>
      </c>
      <c r="U49" s="85">
        <v>1</v>
      </c>
    </row>
    <row r="50" spans="1:21" s="255" customFormat="1" ht="29.15" customHeight="1" x14ac:dyDescent="0.55000000000000004">
      <c r="A50" s="697"/>
      <c r="B50" s="714"/>
      <c r="C50" s="714"/>
      <c r="D50" s="716"/>
      <c r="E50" s="241" t="s">
        <v>199</v>
      </c>
      <c r="F50" s="87">
        <v>11</v>
      </c>
      <c r="G50" s="83">
        <v>4</v>
      </c>
      <c r="H50" s="83">
        <v>1</v>
      </c>
      <c r="I50" s="83" t="s">
        <v>50</v>
      </c>
      <c r="J50" s="83" t="s">
        <v>50</v>
      </c>
      <c r="K50" s="83" t="s">
        <v>50</v>
      </c>
      <c r="L50" s="83" t="s">
        <v>50</v>
      </c>
      <c r="M50" s="83" t="s">
        <v>50</v>
      </c>
      <c r="N50" s="83" t="s">
        <v>50</v>
      </c>
      <c r="O50" s="83" t="s">
        <v>50</v>
      </c>
      <c r="P50" s="83" t="s">
        <v>50</v>
      </c>
      <c r="Q50" s="83" t="s">
        <v>50</v>
      </c>
      <c r="R50" s="83" t="s">
        <v>50</v>
      </c>
      <c r="S50" s="83" t="s">
        <v>50</v>
      </c>
      <c r="T50" s="83" t="s">
        <v>50</v>
      </c>
      <c r="U50" s="85" t="s">
        <v>50</v>
      </c>
    </row>
    <row r="51" spans="1:21" s="255" customFormat="1" ht="29.15" customHeight="1" x14ac:dyDescent="0.55000000000000004">
      <c r="A51" s="697"/>
      <c r="B51" s="714"/>
      <c r="C51" s="714"/>
      <c r="D51" s="716"/>
      <c r="E51" s="241" t="s">
        <v>200</v>
      </c>
      <c r="F51" s="87" t="s">
        <v>50</v>
      </c>
      <c r="G51" s="83" t="s">
        <v>50</v>
      </c>
      <c r="H51" s="83" t="s">
        <v>50</v>
      </c>
      <c r="I51" s="83" t="s">
        <v>50</v>
      </c>
      <c r="J51" s="83" t="s">
        <v>50</v>
      </c>
      <c r="K51" s="83" t="s">
        <v>50</v>
      </c>
      <c r="L51" s="83" t="s">
        <v>50</v>
      </c>
      <c r="M51" s="83" t="s">
        <v>50</v>
      </c>
      <c r="N51" s="83" t="s">
        <v>50</v>
      </c>
      <c r="O51" s="83" t="s">
        <v>50</v>
      </c>
      <c r="P51" s="83" t="s">
        <v>50</v>
      </c>
      <c r="Q51" s="83" t="s">
        <v>50</v>
      </c>
      <c r="R51" s="83" t="s">
        <v>50</v>
      </c>
      <c r="S51" s="83" t="s">
        <v>50</v>
      </c>
      <c r="T51" s="83" t="s">
        <v>50</v>
      </c>
      <c r="U51" s="85" t="s">
        <v>50</v>
      </c>
    </row>
    <row r="52" spans="1:21" s="255" customFormat="1" ht="29.15" customHeight="1" x14ac:dyDescent="0.55000000000000004">
      <c r="A52" s="697"/>
      <c r="B52" s="714"/>
      <c r="C52" s="714"/>
      <c r="D52" s="716"/>
      <c r="E52" s="241" t="s">
        <v>201</v>
      </c>
      <c r="F52" s="87">
        <v>4</v>
      </c>
      <c r="G52" s="83">
        <v>1</v>
      </c>
      <c r="H52" s="83">
        <v>3</v>
      </c>
      <c r="I52" s="83">
        <v>4</v>
      </c>
      <c r="J52" s="83" t="s">
        <v>50</v>
      </c>
      <c r="K52" s="83" t="s">
        <v>50</v>
      </c>
      <c r="L52" s="83" t="s">
        <v>50</v>
      </c>
      <c r="M52" s="83" t="s">
        <v>50</v>
      </c>
      <c r="N52" s="83" t="s">
        <v>50</v>
      </c>
      <c r="O52" s="83" t="s">
        <v>50</v>
      </c>
      <c r="P52" s="83" t="s">
        <v>50</v>
      </c>
      <c r="Q52" s="83" t="s">
        <v>50</v>
      </c>
      <c r="R52" s="83" t="s">
        <v>50</v>
      </c>
      <c r="S52" s="83" t="s">
        <v>50</v>
      </c>
      <c r="T52" s="83" t="s">
        <v>50</v>
      </c>
      <c r="U52" s="85" t="s">
        <v>50</v>
      </c>
    </row>
    <row r="53" spans="1:21" s="255" customFormat="1" ht="29.15" customHeight="1" x14ac:dyDescent="0.55000000000000004">
      <c r="A53" s="697"/>
      <c r="B53" s="714"/>
      <c r="C53" s="714"/>
      <c r="D53" s="716"/>
      <c r="E53" s="241" t="s">
        <v>202</v>
      </c>
      <c r="F53" s="87" t="s">
        <v>50</v>
      </c>
      <c r="G53" s="83" t="s">
        <v>50</v>
      </c>
      <c r="H53" s="83" t="s">
        <v>50</v>
      </c>
      <c r="I53" s="83" t="s">
        <v>50</v>
      </c>
      <c r="J53" s="83" t="s">
        <v>50</v>
      </c>
      <c r="K53" s="83" t="s">
        <v>50</v>
      </c>
      <c r="L53" s="83" t="s">
        <v>50</v>
      </c>
      <c r="M53" s="83" t="s">
        <v>50</v>
      </c>
      <c r="N53" s="83" t="s">
        <v>50</v>
      </c>
      <c r="O53" s="83" t="s">
        <v>50</v>
      </c>
      <c r="P53" s="83" t="s">
        <v>50</v>
      </c>
      <c r="Q53" s="83" t="s">
        <v>50</v>
      </c>
      <c r="R53" s="83" t="s">
        <v>50</v>
      </c>
      <c r="S53" s="83" t="s">
        <v>50</v>
      </c>
      <c r="T53" s="83" t="s">
        <v>50</v>
      </c>
      <c r="U53" s="85" t="s">
        <v>50</v>
      </c>
    </row>
    <row r="54" spans="1:21" s="255" customFormat="1" ht="29.15" customHeight="1" x14ac:dyDescent="0.55000000000000004">
      <c r="A54" s="697"/>
      <c r="B54" s="718"/>
      <c r="C54" s="718"/>
      <c r="D54" s="716"/>
      <c r="E54" s="241" t="s">
        <v>203</v>
      </c>
      <c r="F54" s="87" t="s">
        <v>50</v>
      </c>
      <c r="G54" s="83" t="s">
        <v>50</v>
      </c>
      <c r="H54" s="83" t="s">
        <v>50</v>
      </c>
      <c r="I54" s="83" t="s">
        <v>50</v>
      </c>
      <c r="J54" s="83" t="s">
        <v>50</v>
      </c>
      <c r="K54" s="83" t="s">
        <v>50</v>
      </c>
      <c r="L54" s="83" t="s">
        <v>50</v>
      </c>
      <c r="M54" s="83" t="s">
        <v>50</v>
      </c>
      <c r="N54" s="83" t="s">
        <v>50</v>
      </c>
      <c r="O54" s="83" t="s">
        <v>50</v>
      </c>
      <c r="P54" s="83" t="s">
        <v>50</v>
      </c>
      <c r="Q54" s="83" t="s">
        <v>50</v>
      </c>
      <c r="R54" s="83" t="s">
        <v>50</v>
      </c>
      <c r="S54" s="83" t="s">
        <v>50</v>
      </c>
      <c r="T54" s="83" t="s">
        <v>50</v>
      </c>
      <c r="U54" s="85" t="s">
        <v>50</v>
      </c>
    </row>
    <row r="55" spans="1:21" s="255" customFormat="1" ht="29.15" customHeight="1" x14ac:dyDescent="0.55000000000000004">
      <c r="A55" s="697"/>
      <c r="B55" s="713" t="s">
        <v>223</v>
      </c>
      <c r="C55" s="713" t="s">
        <v>188</v>
      </c>
      <c r="D55" s="716" t="s">
        <v>186</v>
      </c>
      <c r="E55" s="241" t="s">
        <v>192</v>
      </c>
      <c r="F55" s="87">
        <v>2</v>
      </c>
      <c r="G55" s="83" t="s">
        <v>50</v>
      </c>
      <c r="H55" s="83">
        <v>2</v>
      </c>
      <c r="I55" s="83" t="s">
        <v>50</v>
      </c>
      <c r="J55" s="83">
        <v>2</v>
      </c>
      <c r="K55" s="83" t="s">
        <v>50</v>
      </c>
      <c r="L55" s="83">
        <v>2</v>
      </c>
      <c r="M55" s="83">
        <v>0</v>
      </c>
      <c r="N55" s="83">
        <v>3</v>
      </c>
      <c r="O55" s="83" t="s">
        <v>50</v>
      </c>
      <c r="P55" s="83" t="s">
        <v>50</v>
      </c>
      <c r="Q55" s="83" t="s">
        <v>50</v>
      </c>
      <c r="R55" s="83">
        <v>4</v>
      </c>
      <c r="S55" s="83" t="s">
        <v>50</v>
      </c>
      <c r="T55" s="83">
        <v>2</v>
      </c>
      <c r="U55" s="85" t="s">
        <v>50</v>
      </c>
    </row>
    <row r="56" spans="1:21" s="255" customFormat="1" ht="29.15" customHeight="1" x14ac:dyDescent="0.55000000000000004">
      <c r="A56" s="697"/>
      <c r="B56" s="714"/>
      <c r="C56" s="714"/>
      <c r="D56" s="716"/>
      <c r="E56" s="241" t="s">
        <v>193</v>
      </c>
      <c r="F56" s="87" t="s">
        <v>50</v>
      </c>
      <c r="G56" s="83" t="s">
        <v>50</v>
      </c>
      <c r="H56" s="83" t="s">
        <v>50</v>
      </c>
      <c r="I56" s="83" t="s">
        <v>50</v>
      </c>
      <c r="J56" s="83" t="s">
        <v>50</v>
      </c>
      <c r="K56" s="83" t="s">
        <v>50</v>
      </c>
      <c r="L56" s="83" t="s">
        <v>50</v>
      </c>
      <c r="M56" s="83" t="s">
        <v>50</v>
      </c>
      <c r="N56" s="83" t="s">
        <v>50</v>
      </c>
      <c r="O56" s="83" t="s">
        <v>50</v>
      </c>
      <c r="P56" s="83" t="s">
        <v>50</v>
      </c>
      <c r="Q56" s="83" t="s">
        <v>50</v>
      </c>
      <c r="R56" s="83" t="s">
        <v>50</v>
      </c>
      <c r="S56" s="83" t="s">
        <v>50</v>
      </c>
      <c r="T56" s="83" t="s">
        <v>50</v>
      </c>
      <c r="U56" s="85" t="s">
        <v>50</v>
      </c>
    </row>
    <row r="57" spans="1:21" s="255" customFormat="1" ht="29.15" customHeight="1" x14ac:dyDescent="0.55000000000000004">
      <c r="A57" s="697"/>
      <c r="B57" s="714"/>
      <c r="C57" s="714"/>
      <c r="D57" s="716"/>
      <c r="E57" s="241" t="s">
        <v>194</v>
      </c>
      <c r="F57" s="87" t="s">
        <v>50</v>
      </c>
      <c r="G57" s="83" t="s">
        <v>50</v>
      </c>
      <c r="H57" s="83" t="s">
        <v>50</v>
      </c>
      <c r="I57" s="83" t="s">
        <v>50</v>
      </c>
      <c r="J57" s="83" t="s">
        <v>50</v>
      </c>
      <c r="K57" s="83" t="s">
        <v>50</v>
      </c>
      <c r="L57" s="83" t="s">
        <v>50</v>
      </c>
      <c r="M57" s="83" t="s">
        <v>50</v>
      </c>
      <c r="N57" s="83" t="s">
        <v>50</v>
      </c>
      <c r="O57" s="83" t="s">
        <v>50</v>
      </c>
      <c r="P57" s="83">
        <v>4</v>
      </c>
      <c r="Q57" s="83" t="s">
        <v>50</v>
      </c>
      <c r="R57" s="83" t="s">
        <v>50</v>
      </c>
      <c r="S57" s="83" t="s">
        <v>50</v>
      </c>
      <c r="T57" s="83">
        <v>2</v>
      </c>
      <c r="U57" s="85" t="s">
        <v>50</v>
      </c>
    </row>
    <row r="58" spans="1:21" s="255" customFormat="1" ht="29.15" customHeight="1" x14ac:dyDescent="0.55000000000000004">
      <c r="A58" s="697"/>
      <c r="B58" s="714"/>
      <c r="C58" s="714"/>
      <c r="D58" s="716"/>
      <c r="E58" s="241" t="s">
        <v>195</v>
      </c>
      <c r="F58" s="87" t="s">
        <v>50</v>
      </c>
      <c r="G58" s="83" t="s">
        <v>50</v>
      </c>
      <c r="H58" s="83" t="s">
        <v>50</v>
      </c>
      <c r="I58" s="83" t="s">
        <v>50</v>
      </c>
      <c r="J58" s="83" t="s">
        <v>50</v>
      </c>
      <c r="K58" s="83" t="s">
        <v>50</v>
      </c>
      <c r="L58" s="83" t="s">
        <v>50</v>
      </c>
      <c r="M58" s="83" t="s">
        <v>50</v>
      </c>
      <c r="N58" s="83" t="s">
        <v>50</v>
      </c>
      <c r="O58" s="83" t="s">
        <v>50</v>
      </c>
      <c r="P58" s="83" t="s">
        <v>50</v>
      </c>
      <c r="Q58" s="83" t="s">
        <v>50</v>
      </c>
      <c r="R58" s="83" t="s">
        <v>50</v>
      </c>
      <c r="S58" s="83" t="s">
        <v>50</v>
      </c>
      <c r="T58" s="83" t="s">
        <v>50</v>
      </c>
      <c r="U58" s="85" t="s">
        <v>50</v>
      </c>
    </row>
    <row r="59" spans="1:21" s="255" customFormat="1" ht="29.15" customHeight="1" x14ac:dyDescent="0.55000000000000004">
      <c r="A59" s="697"/>
      <c r="B59" s="714"/>
      <c r="C59" s="714"/>
      <c r="D59" s="716"/>
      <c r="E59" s="241" t="s">
        <v>196</v>
      </c>
      <c r="F59" s="87" t="s">
        <v>50</v>
      </c>
      <c r="G59" s="83" t="s">
        <v>50</v>
      </c>
      <c r="H59" s="83" t="s">
        <v>50</v>
      </c>
      <c r="I59" s="83" t="s">
        <v>50</v>
      </c>
      <c r="J59" s="83" t="s">
        <v>50</v>
      </c>
      <c r="K59" s="83" t="s">
        <v>50</v>
      </c>
      <c r="L59" s="83" t="s">
        <v>50</v>
      </c>
      <c r="M59" s="83" t="s">
        <v>50</v>
      </c>
      <c r="N59" s="83" t="s">
        <v>50</v>
      </c>
      <c r="O59" s="83" t="s">
        <v>50</v>
      </c>
      <c r="P59" s="83" t="s">
        <v>50</v>
      </c>
      <c r="Q59" s="83" t="s">
        <v>50</v>
      </c>
      <c r="R59" s="83" t="s">
        <v>50</v>
      </c>
      <c r="S59" s="83" t="s">
        <v>50</v>
      </c>
      <c r="T59" s="83" t="s">
        <v>50</v>
      </c>
      <c r="U59" s="85" t="s">
        <v>50</v>
      </c>
    </row>
    <row r="60" spans="1:21" s="255" customFormat="1" ht="29.15" customHeight="1" x14ac:dyDescent="0.55000000000000004">
      <c r="A60" s="697"/>
      <c r="B60" s="714"/>
      <c r="C60" s="714"/>
      <c r="D60" s="716"/>
      <c r="E60" s="241" t="s">
        <v>197</v>
      </c>
      <c r="F60" s="87" t="s">
        <v>50</v>
      </c>
      <c r="G60" s="83" t="s">
        <v>50</v>
      </c>
      <c r="H60" s="83" t="s">
        <v>50</v>
      </c>
      <c r="I60" s="83" t="s">
        <v>50</v>
      </c>
      <c r="J60" s="83" t="s">
        <v>50</v>
      </c>
      <c r="K60" s="83" t="s">
        <v>50</v>
      </c>
      <c r="L60" s="83" t="s">
        <v>50</v>
      </c>
      <c r="M60" s="83" t="s">
        <v>50</v>
      </c>
      <c r="N60" s="83" t="s">
        <v>50</v>
      </c>
      <c r="O60" s="83" t="s">
        <v>50</v>
      </c>
      <c r="P60" s="83" t="s">
        <v>50</v>
      </c>
      <c r="Q60" s="83" t="s">
        <v>50</v>
      </c>
      <c r="R60" s="83" t="s">
        <v>50</v>
      </c>
      <c r="S60" s="83" t="s">
        <v>50</v>
      </c>
      <c r="T60" s="83" t="s">
        <v>50</v>
      </c>
      <c r="U60" s="85" t="s">
        <v>50</v>
      </c>
    </row>
    <row r="61" spans="1:21" s="255" customFormat="1" ht="29.15" customHeight="1" x14ac:dyDescent="0.55000000000000004">
      <c r="A61" s="697"/>
      <c r="B61" s="714"/>
      <c r="C61" s="714"/>
      <c r="D61" s="716"/>
      <c r="E61" s="241" t="s">
        <v>198</v>
      </c>
      <c r="F61" s="87" t="s">
        <v>50</v>
      </c>
      <c r="G61" s="83" t="s">
        <v>50</v>
      </c>
      <c r="H61" s="83" t="s">
        <v>50</v>
      </c>
      <c r="I61" s="83" t="s">
        <v>50</v>
      </c>
      <c r="J61" s="83" t="s">
        <v>50</v>
      </c>
      <c r="K61" s="83" t="s">
        <v>50</v>
      </c>
      <c r="L61" s="83" t="s">
        <v>50</v>
      </c>
      <c r="M61" s="83" t="s">
        <v>50</v>
      </c>
      <c r="N61" s="83" t="s">
        <v>50</v>
      </c>
      <c r="O61" s="83" t="s">
        <v>50</v>
      </c>
      <c r="P61" s="83" t="s">
        <v>50</v>
      </c>
      <c r="Q61" s="83" t="s">
        <v>50</v>
      </c>
      <c r="R61" s="83" t="s">
        <v>50</v>
      </c>
      <c r="S61" s="83" t="s">
        <v>50</v>
      </c>
      <c r="T61" s="83" t="s">
        <v>50</v>
      </c>
      <c r="U61" s="85" t="s">
        <v>50</v>
      </c>
    </row>
    <row r="62" spans="1:21" s="255" customFormat="1" ht="29.15" customHeight="1" x14ac:dyDescent="0.55000000000000004">
      <c r="A62" s="697"/>
      <c r="B62" s="714"/>
      <c r="C62" s="714"/>
      <c r="D62" s="716"/>
      <c r="E62" s="241" t="s">
        <v>199</v>
      </c>
      <c r="F62" s="87" t="s">
        <v>50</v>
      </c>
      <c r="G62" s="83" t="s">
        <v>50</v>
      </c>
      <c r="H62" s="83" t="s">
        <v>50</v>
      </c>
      <c r="I62" s="83" t="s">
        <v>50</v>
      </c>
      <c r="J62" s="83" t="s">
        <v>50</v>
      </c>
      <c r="K62" s="83" t="s">
        <v>50</v>
      </c>
      <c r="L62" s="83" t="s">
        <v>50</v>
      </c>
      <c r="M62" s="83" t="s">
        <v>50</v>
      </c>
      <c r="N62" s="83" t="s">
        <v>50</v>
      </c>
      <c r="O62" s="83" t="s">
        <v>50</v>
      </c>
      <c r="P62" s="83" t="s">
        <v>50</v>
      </c>
      <c r="Q62" s="83" t="s">
        <v>50</v>
      </c>
      <c r="R62" s="83" t="s">
        <v>50</v>
      </c>
      <c r="S62" s="83" t="s">
        <v>50</v>
      </c>
      <c r="T62" s="83" t="s">
        <v>50</v>
      </c>
      <c r="U62" s="85" t="s">
        <v>50</v>
      </c>
    </row>
    <row r="63" spans="1:21" s="255" customFormat="1" ht="29.15" customHeight="1" x14ac:dyDescent="0.55000000000000004">
      <c r="A63" s="697"/>
      <c r="B63" s="714"/>
      <c r="C63" s="714"/>
      <c r="D63" s="716"/>
      <c r="E63" s="241" t="s">
        <v>200</v>
      </c>
      <c r="F63" s="87" t="s">
        <v>50</v>
      </c>
      <c r="G63" s="83" t="s">
        <v>50</v>
      </c>
      <c r="H63" s="83" t="s">
        <v>50</v>
      </c>
      <c r="I63" s="83" t="s">
        <v>50</v>
      </c>
      <c r="J63" s="83" t="s">
        <v>50</v>
      </c>
      <c r="K63" s="83" t="s">
        <v>50</v>
      </c>
      <c r="L63" s="83" t="s">
        <v>50</v>
      </c>
      <c r="M63" s="83" t="s">
        <v>50</v>
      </c>
      <c r="N63" s="83" t="s">
        <v>50</v>
      </c>
      <c r="O63" s="83" t="s">
        <v>50</v>
      </c>
      <c r="P63" s="83" t="s">
        <v>50</v>
      </c>
      <c r="Q63" s="83" t="s">
        <v>50</v>
      </c>
      <c r="R63" s="83" t="s">
        <v>50</v>
      </c>
      <c r="S63" s="83" t="s">
        <v>50</v>
      </c>
      <c r="T63" s="83" t="s">
        <v>50</v>
      </c>
      <c r="U63" s="85" t="s">
        <v>50</v>
      </c>
    </row>
    <row r="64" spans="1:21" s="255" customFormat="1" ht="29.15" customHeight="1" x14ac:dyDescent="0.55000000000000004">
      <c r="A64" s="697"/>
      <c r="B64" s="714"/>
      <c r="C64" s="714"/>
      <c r="D64" s="716"/>
      <c r="E64" s="241" t="s">
        <v>201</v>
      </c>
      <c r="F64" s="87" t="s">
        <v>50</v>
      </c>
      <c r="G64" s="83" t="s">
        <v>50</v>
      </c>
      <c r="H64" s="83" t="s">
        <v>50</v>
      </c>
      <c r="I64" s="83" t="s">
        <v>50</v>
      </c>
      <c r="J64" s="83" t="s">
        <v>50</v>
      </c>
      <c r="K64" s="83" t="s">
        <v>50</v>
      </c>
      <c r="L64" s="83" t="s">
        <v>50</v>
      </c>
      <c r="M64" s="83" t="s">
        <v>50</v>
      </c>
      <c r="N64" s="83" t="s">
        <v>50</v>
      </c>
      <c r="O64" s="83" t="s">
        <v>50</v>
      </c>
      <c r="P64" s="83" t="s">
        <v>50</v>
      </c>
      <c r="Q64" s="83" t="s">
        <v>50</v>
      </c>
      <c r="R64" s="83" t="s">
        <v>50</v>
      </c>
      <c r="S64" s="83" t="s">
        <v>50</v>
      </c>
      <c r="T64" s="83" t="s">
        <v>50</v>
      </c>
      <c r="U64" s="85" t="s">
        <v>50</v>
      </c>
    </row>
    <row r="65" spans="1:21" s="255" customFormat="1" ht="29.15" customHeight="1" x14ac:dyDescent="0.55000000000000004">
      <c r="A65" s="697"/>
      <c r="B65" s="714"/>
      <c r="C65" s="714"/>
      <c r="D65" s="716"/>
      <c r="E65" s="241" t="s">
        <v>202</v>
      </c>
      <c r="F65" s="87" t="s">
        <v>50</v>
      </c>
      <c r="G65" s="83" t="s">
        <v>50</v>
      </c>
      <c r="H65" s="83" t="s">
        <v>50</v>
      </c>
      <c r="I65" s="83" t="s">
        <v>50</v>
      </c>
      <c r="J65" s="83" t="s">
        <v>50</v>
      </c>
      <c r="K65" s="83" t="s">
        <v>50</v>
      </c>
      <c r="L65" s="83" t="s">
        <v>50</v>
      </c>
      <c r="M65" s="83" t="s">
        <v>50</v>
      </c>
      <c r="N65" s="83" t="s">
        <v>50</v>
      </c>
      <c r="O65" s="83" t="s">
        <v>50</v>
      </c>
      <c r="P65" s="83" t="s">
        <v>50</v>
      </c>
      <c r="Q65" s="83" t="s">
        <v>50</v>
      </c>
      <c r="R65" s="83" t="s">
        <v>50</v>
      </c>
      <c r="S65" s="83" t="s">
        <v>50</v>
      </c>
      <c r="T65" s="83" t="s">
        <v>50</v>
      </c>
      <c r="U65" s="85" t="s">
        <v>50</v>
      </c>
    </row>
    <row r="66" spans="1:21" s="255" customFormat="1" ht="29.15" customHeight="1" x14ac:dyDescent="0.55000000000000004">
      <c r="A66" s="697"/>
      <c r="B66" s="718"/>
      <c r="C66" s="718"/>
      <c r="D66" s="716"/>
      <c r="E66" s="241" t="s">
        <v>203</v>
      </c>
      <c r="F66" s="87" t="s">
        <v>50</v>
      </c>
      <c r="G66" s="83" t="s">
        <v>50</v>
      </c>
      <c r="H66" s="83" t="s">
        <v>50</v>
      </c>
      <c r="I66" s="83" t="s">
        <v>50</v>
      </c>
      <c r="J66" s="83" t="s">
        <v>50</v>
      </c>
      <c r="K66" s="83" t="s">
        <v>50</v>
      </c>
      <c r="L66" s="83" t="s">
        <v>50</v>
      </c>
      <c r="M66" s="83" t="s">
        <v>50</v>
      </c>
      <c r="N66" s="83" t="s">
        <v>50</v>
      </c>
      <c r="O66" s="83" t="s">
        <v>50</v>
      </c>
      <c r="P66" s="83" t="s">
        <v>50</v>
      </c>
      <c r="Q66" s="83" t="s">
        <v>50</v>
      </c>
      <c r="R66" s="83" t="s">
        <v>50</v>
      </c>
      <c r="S66" s="83" t="s">
        <v>50</v>
      </c>
      <c r="T66" s="83" t="s">
        <v>50</v>
      </c>
      <c r="U66" s="85" t="s">
        <v>50</v>
      </c>
    </row>
    <row r="67" spans="1:21" s="255" customFormat="1" ht="29.15" customHeight="1" x14ac:dyDescent="0.55000000000000004">
      <c r="A67" s="697"/>
      <c r="B67" s="713" t="s">
        <v>223</v>
      </c>
      <c r="C67" s="713" t="s">
        <v>222</v>
      </c>
      <c r="D67" s="716" t="s">
        <v>187</v>
      </c>
      <c r="E67" s="241" t="s">
        <v>192</v>
      </c>
      <c r="F67" s="87">
        <v>79</v>
      </c>
      <c r="G67" s="83">
        <v>117</v>
      </c>
      <c r="H67" s="83">
        <v>96</v>
      </c>
      <c r="I67" s="83">
        <v>184</v>
      </c>
      <c r="J67" s="83">
        <v>115</v>
      </c>
      <c r="K67" s="83">
        <v>213</v>
      </c>
      <c r="L67" s="83">
        <v>140</v>
      </c>
      <c r="M67" s="83">
        <v>235</v>
      </c>
      <c r="N67" s="83">
        <v>164</v>
      </c>
      <c r="O67" s="83">
        <v>243</v>
      </c>
      <c r="P67" s="83">
        <v>180</v>
      </c>
      <c r="Q67" s="83">
        <v>252</v>
      </c>
      <c r="R67" s="83">
        <v>220</v>
      </c>
      <c r="S67" s="83">
        <v>283</v>
      </c>
      <c r="T67" s="83">
        <v>218</v>
      </c>
      <c r="U67" s="85">
        <v>285</v>
      </c>
    </row>
    <row r="68" spans="1:21" s="255" customFormat="1" ht="29.15" customHeight="1" x14ac:dyDescent="0.55000000000000004">
      <c r="A68" s="697"/>
      <c r="B68" s="714"/>
      <c r="C68" s="714"/>
      <c r="D68" s="716"/>
      <c r="E68" s="241" t="s">
        <v>193</v>
      </c>
      <c r="F68" s="87">
        <v>135</v>
      </c>
      <c r="G68" s="83">
        <v>148</v>
      </c>
      <c r="H68" s="83">
        <v>120</v>
      </c>
      <c r="I68" s="83">
        <v>148</v>
      </c>
      <c r="J68" s="83">
        <v>88</v>
      </c>
      <c r="K68" s="83">
        <v>155</v>
      </c>
      <c r="L68" s="83">
        <v>59</v>
      </c>
      <c r="M68" s="83">
        <v>138</v>
      </c>
      <c r="N68" s="83">
        <v>47</v>
      </c>
      <c r="O68" s="83">
        <v>131</v>
      </c>
      <c r="P68" s="83">
        <v>39</v>
      </c>
      <c r="Q68" s="83">
        <v>85</v>
      </c>
      <c r="R68" s="83">
        <v>26</v>
      </c>
      <c r="S68" s="83">
        <v>68</v>
      </c>
      <c r="T68" s="83">
        <v>13</v>
      </c>
      <c r="U68" s="85">
        <v>37</v>
      </c>
    </row>
    <row r="69" spans="1:21" s="255" customFormat="1" ht="29.15" customHeight="1" x14ac:dyDescent="0.55000000000000004">
      <c r="A69" s="697"/>
      <c r="B69" s="714"/>
      <c r="C69" s="714"/>
      <c r="D69" s="716"/>
      <c r="E69" s="241" t="s">
        <v>194</v>
      </c>
      <c r="F69" s="87">
        <v>130</v>
      </c>
      <c r="G69" s="83">
        <v>77</v>
      </c>
      <c r="H69" s="83">
        <v>132</v>
      </c>
      <c r="I69" s="83">
        <v>78</v>
      </c>
      <c r="J69" s="83">
        <v>120</v>
      </c>
      <c r="K69" s="83">
        <v>82</v>
      </c>
      <c r="L69" s="83">
        <v>118</v>
      </c>
      <c r="M69" s="83">
        <v>93</v>
      </c>
      <c r="N69" s="83">
        <v>116</v>
      </c>
      <c r="O69" s="83">
        <v>114</v>
      </c>
      <c r="P69" s="83">
        <v>130</v>
      </c>
      <c r="Q69" s="83">
        <v>118</v>
      </c>
      <c r="R69" s="83">
        <v>122</v>
      </c>
      <c r="S69" s="83">
        <v>97</v>
      </c>
      <c r="T69" s="83">
        <v>146</v>
      </c>
      <c r="U69" s="85">
        <v>110</v>
      </c>
    </row>
    <row r="70" spans="1:21" s="255" customFormat="1" ht="29.15" customHeight="1" x14ac:dyDescent="0.55000000000000004">
      <c r="A70" s="697"/>
      <c r="B70" s="714"/>
      <c r="C70" s="714"/>
      <c r="D70" s="716"/>
      <c r="E70" s="241" t="s">
        <v>195</v>
      </c>
      <c r="F70" s="87" t="s">
        <v>50</v>
      </c>
      <c r="G70" s="83" t="s">
        <v>50</v>
      </c>
      <c r="H70" s="83" t="s">
        <v>50</v>
      </c>
      <c r="I70" s="83" t="s">
        <v>50</v>
      </c>
      <c r="J70" s="83" t="s">
        <v>50</v>
      </c>
      <c r="K70" s="83" t="s">
        <v>50</v>
      </c>
      <c r="L70" s="83" t="s">
        <v>50</v>
      </c>
      <c r="M70" s="83" t="s">
        <v>50</v>
      </c>
      <c r="N70" s="83" t="s">
        <v>50</v>
      </c>
      <c r="O70" s="83" t="s">
        <v>50</v>
      </c>
      <c r="P70" s="83" t="s">
        <v>50</v>
      </c>
      <c r="Q70" s="83" t="s">
        <v>50</v>
      </c>
      <c r="R70" s="83" t="s">
        <v>50</v>
      </c>
      <c r="S70" s="83" t="s">
        <v>50</v>
      </c>
      <c r="T70" s="83" t="s">
        <v>50</v>
      </c>
      <c r="U70" s="85" t="s">
        <v>50</v>
      </c>
    </row>
    <row r="71" spans="1:21" s="255" customFormat="1" ht="29.15" customHeight="1" x14ac:dyDescent="0.55000000000000004">
      <c r="A71" s="697"/>
      <c r="B71" s="714"/>
      <c r="C71" s="714"/>
      <c r="D71" s="716"/>
      <c r="E71" s="241" t="s">
        <v>196</v>
      </c>
      <c r="F71" s="87" t="s">
        <v>50</v>
      </c>
      <c r="G71" s="83" t="s">
        <v>50</v>
      </c>
      <c r="H71" s="83" t="s">
        <v>50</v>
      </c>
      <c r="I71" s="83" t="s">
        <v>50</v>
      </c>
      <c r="J71" s="83" t="s">
        <v>50</v>
      </c>
      <c r="K71" s="83" t="s">
        <v>50</v>
      </c>
      <c r="L71" s="83" t="s">
        <v>50</v>
      </c>
      <c r="M71" s="83" t="s">
        <v>50</v>
      </c>
      <c r="N71" s="83" t="s">
        <v>50</v>
      </c>
      <c r="O71" s="83" t="s">
        <v>50</v>
      </c>
      <c r="P71" s="83" t="s">
        <v>50</v>
      </c>
      <c r="Q71" s="83" t="s">
        <v>50</v>
      </c>
      <c r="R71" s="83" t="s">
        <v>50</v>
      </c>
      <c r="S71" s="83" t="s">
        <v>50</v>
      </c>
      <c r="T71" s="83" t="s">
        <v>50</v>
      </c>
      <c r="U71" s="85" t="s">
        <v>50</v>
      </c>
    </row>
    <row r="72" spans="1:21" s="255" customFormat="1" ht="29.15" customHeight="1" x14ac:dyDescent="0.55000000000000004">
      <c r="A72" s="697"/>
      <c r="B72" s="714"/>
      <c r="C72" s="714"/>
      <c r="D72" s="716"/>
      <c r="E72" s="241" t="s">
        <v>197</v>
      </c>
      <c r="F72" s="87" t="s">
        <v>50</v>
      </c>
      <c r="G72" s="83" t="s">
        <v>50</v>
      </c>
      <c r="H72" s="83" t="s">
        <v>50</v>
      </c>
      <c r="I72" s="83" t="s">
        <v>50</v>
      </c>
      <c r="J72" s="83" t="s">
        <v>50</v>
      </c>
      <c r="K72" s="83" t="s">
        <v>50</v>
      </c>
      <c r="L72" s="83">
        <v>1</v>
      </c>
      <c r="M72" s="83" t="s">
        <v>50</v>
      </c>
      <c r="N72" s="83">
        <v>2</v>
      </c>
      <c r="O72" s="83">
        <v>1</v>
      </c>
      <c r="P72" s="83">
        <v>1</v>
      </c>
      <c r="Q72" s="83" t="s">
        <v>50</v>
      </c>
      <c r="R72" s="83" t="s">
        <v>50</v>
      </c>
      <c r="S72" s="83" t="s">
        <v>50</v>
      </c>
      <c r="T72" s="83">
        <v>1</v>
      </c>
      <c r="U72" s="85">
        <v>4</v>
      </c>
    </row>
    <row r="73" spans="1:21" s="255" customFormat="1" ht="29.15" customHeight="1" x14ac:dyDescent="0.55000000000000004">
      <c r="A73" s="697"/>
      <c r="B73" s="714"/>
      <c r="C73" s="714"/>
      <c r="D73" s="716"/>
      <c r="E73" s="241" t="s">
        <v>198</v>
      </c>
      <c r="F73" s="87" t="s">
        <v>50</v>
      </c>
      <c r="G73" s="83">
        <v>2</v>
      </c>
      <c r="H73" s="83" t="s">
        <v>50</v>
      </c>
      <c r="I73" s="83">
        <v>2</v>
      </c>
      <c r="J73" s="83" t="s">
        <v>50</v>
      </c>
      <c r="K73" s="83">
        <v>2</v>
      </c>
      <c r="L73" s="83" t="s">
        <v>50</v>
      </c>
      <c r="M73" s="83">
        <v>2</v>
      </c>
      <c r="N73" s="83" t="s">
        <v>50</v>
      </c>
      <c r="O73" s="83">
        <v>2</v>
      </c>
      <c r="P73" s="83">
        <v>1</v>
      </c>
      <c r="Q73" s="83">
        <v>2</v>
      </c>
      <c r="R73" s="83">
        <v>1</v>
      </c>
      <c r="S73" s="83">
        <v>2</v>
      </c>
      <c r="T73" s="83" t="s">
        <v>50</v>
      </c>
      <c r="U73" s="85">
        <v>2</v>
      </c>
    </row>
    <row r="74" spans="1:21" s="255" customFormat="1" ht="29.15" customHeight="1" x14ac:dyDescent="0.55000000000000004">
      <c r="A74" s="697"/>
      <c r="B74" s="714"/>
      <c r="C74" s="714"/>
      <c r="D74" s="716"/>
      <c r="E74" s="241" t="s">
        <v>199</v>
      </c>
      <c r="F74" s="87" t="s">
        <v>50</v>
      </c>
      <c r="G74" s="83">
        <v>1</v>
      </c>
      <c r="H74" s="83">
        <v>2</v>
      </c>
      <c r="I74" s="83" t="s">
        <v>50</v>
      </c>
      <c r="J74" s="83">
        <v>1</v>
      </c>
      <c r="K74" s="83" t="s">
        <v>50</v>
      </c>
      <c r="L74" s="83">
        <v>1</v>
      </c>
      <c r="M74" s="83" t="s">
        <v>50</v>
      </c>
      <c r="N74" s="83" t="s">
        <v>50</v>
      </c>
      <c r="O74" s="83" t="s">
        <v>50</v>
      </c>
      <c r="P74" s="83" t="s">
        <v>50</v>
      </c>
      <c r="Q74" s="83" t="s">
        <v>50</v>
      </c>
      <c r="R74" s="83" t="s">
        <v>50</v>
      </c>
      <c r="S74" s="83" t="s">
        <v>50</v>
      </c>
      <c r="T74" s="83" t="s">
        <v>50</v>
      </c>
      <c r="U74" s="85" t="s">
        <v>50</v>
      </c>
    </row>
    <row r="75" spans="1:21" s="255" customFormat="1" ht="29.15" customHeight="1" x14ac:dyDescent="0.55000000000000004">
      <c r="A75" s="697"/>
      <c r="B75" s="714"/>
      <c r="C75" s="714"/>
      <c r="D75" s="716"/>
      <c r="E75" s="241" t="s">
        <v>200</v>
      </c>
      <c r="F75" s="87" t="s">
        <v>50</v>
      </c>
      <c r="G75" s="83" t="s">
        <v>50</v>
      </c>
      <c r="H75" s="83" t="s">
        <v>50</v>
      </c>
      <c r="I75" s="83" t="s">
        <v>50</v>
      </c>
      <c r="J75" s="83" t="s">
        <v>50</v>
      </c>
      <c r="K75" s="83" t="s">
        <v>50</v>
      </c>
      <c r="L75" s="83" t="s">
        <v>50</v>
      </c>
      <c r="M75" s="83" t="s">
        <v>50</v>
      </c>
      <c r="N75" s="83" t="s">
        <v>50</v>
      </c>
      <c r="O75" s="83" t="s">
        <v>50</v>
      </c>
      <c r="P75" s="83" t="s">
        <v>50</v>
      </c>
      <c r="Q75" s="83" t="s">
        <v>50</v>
      </c>
      <c r="R75" s="83" t="s">
        <v>50</v>
      </c>
      <c r="S75" s="83" t="s">
        <v>50</v>
      </c>
      <c r="T75" s="83" t="s">
        <v>50</v>
      </c>
      <c r="U75" s="85" t="s">
        <v>50</v>
      </c>
    </row>
    <row r="76" spans="1:21" s="255" customFormat="1" ht="29.15" customHeight="1" x14ac:dyDescent="0.55000000000000004">
      <c r="A76" s="697"/>
      <c r="B76" s="714"/>
      <c r="C76" s="714"/>
      <c r="D76" s="716"/>
      <c r="E76" s="241" t="s">
        <v>201</v>
      </c>
      <c r="F76" s="87" t="s">
        <v>50</v>
      </c>
      <c r="G76" s="83">
        <v>1</v>
      </c>
      <c r="H76" s="83" t="s">
        <v>50</v>
      </c>
      <c r="I76" s="83">
        <v>1</v>
      </c>
      <c r="J76" s="83" t="s">
        <v>50</v>
      </c>
      <c r="K76" s="83" t="s">
        <v>50</v>
      </c>
      <c r="L76" s="83" t="s">
        <v>50</v>
      </c>
      <c r="M76" s="83" t="s">
        <v>50</v>
      </c>
      <c r="N76" s="83">
        <v>1</v>
      </c>
      <c r="O76" s="83" t="s">
        <v>50</v>
      </c>
      <c r="P76" s="83" t="s">
        <v>50</v>
      </c>
      <c r="Q76" s="83" t="s">
        <v>50</v>
      </c>
      <c r="R76" s="83" t="s">
        <v>50</v>
      </c>
      <c r="S76" s="83" t="s">
        <v>50</v>
      </c>
      <c r="T76" s="83" t="s">
        <v>50</v>
      </c>
      <c r="U76" s="85" t="s">
        <v>50</v>
      </c>
    </row>
    <row r="77" spans="1:21" s="255" customFormat="1" ht="29.15" customHeight="1" x14ac:dyDescent="0.55000000000000004">
      <c r="A77" s="697"/>
      <c r="B77" s="714"/>
      <c r="C77" s="714"/>
      <c r="D77" s="716"/>
      <c r="E77" s="241" t="s">
        <v>202</v>
      </c>
      <c r="F77" s="87" t="s">
        <v>50</v>
      </c>
      <c r="G77" s="83" t="s">
        <v>50</v>
      </c>
      <c r="H77" s="83" t="s">
        <v>50</v>
      </c>
      <c r="I77" s="83" t="s">
        <v>50</v>
      </c>
      <c r="J77" s="83" t="s">
        <v>50</v>
      </c>
      <c r="K77" s="83" t="s">
        <v>50</v>
      </c>
      <c r="L77" s="83" t="s">
        <v>50</v>
      </c>
      <c r="M77" s="83" t="s">
        <v>50</v>
      </c>
      <c r="N77" s="83" t="s">
        <v>50</v>
      </c>
      <c r="O77" s="83" t="s">
        <v>50</v>
      </c>
      <c r="P77" s="83" t="s">
        <v>50</v>
      </c>
      <c r="Q77" s="83" t="s">
        <v>50</v>
      </c>
      <c r="R77" s="83" t="s">
        <v>50</v>
      </c>
      <c r="S77" s="83" t="s">
        <v>50</v>
      </c>
      <c r="T77" s="83" t="s">
        <v>50</v>
      </c>
      <c r="U77" s="85" t="s">
        <v>50</v>
      </c>
    </row>
    <row r="78" spans="1:21" s="255" customFormat="1" ht="29.15" customHeight="1" thickBot="1" x14ac:dyDescent="0.6">
      <c r="A78" s="697"/>
      <c r="B78" s="715"/>
      <c r="C78" s="715"/>
      <c r="D78" s="717"/>
      <c r="E78" s="240" t="s">
        <v>203</v>
      </c>
      <c r="F78" s="91" t="s">
        <v>50</v>
      </c>
      <c r="G78" s="92" t="s">
        <v>50</v>
      </c>
      <c r="H78" s="92" t="s">
        <v>50</v>
      </c>
      <c r="I78" s="92" t="s">
        <v>50</v>
      </c>
      <c r="J78" s="92" t="s">
        <v>50</v>
      </c>
      <c r="K78" s="92" t="s">
        <v>50</v>
      </c>
      <c r="L78" s="92" t="s">
        <v>50</v>
      </c>
      <c r="M78" s="92" t="s">
        <v>50</v>
      </c>
      <c r="N78" s="92" t="s">
        <v>50</v>
      </c>
      <c r="O78" s="92" t="s">
        <v>50</v>
      </c>
      <c r="P78" s="92" t="s">
        <v>50</v>
      </c>
      <c r="Q78" s="92" t="s">
        <v>50</v>
      </c>
      <c r="R78" s="92" t="s">
        <v>50</v>
      </c>
      <c r="S78" s="92" t="s">
        <v>50</v>
      </c>
      <c r="T78" s="92" t="s">
        <v>50</v>
      </c>
      <c r="U78" s="93" t="s">
        <v>50</v>
      </c>
    </row>
    <row r="79" spans="1:21" s="255" customFormat="1" ht="29.15" customHeight="1" thickTop="1" x14ac:dyDescent="0.55000000000000004">
      <c r="A79" s="698"/>
      <c r="B79" s="699" t="s">
        <v>62</v>
      </c>
      <c r="C79" s="699"/>
      <c r="D79" s="699"/>
      <c r="E79" s="699"/>
      <c r="F79" s="94">
        <f>SUM(F18:F78)</f>
        <v>4651</v>
      </c>
      <c r="G79" s="94">
        <f>SUM(G18:G78)</f>
        <v>569</v>
      </c>
      <c r="H79" s="94">
        <v>4668</v>
      </c>
      <c r="I79" s="94">
        <v>641</v>
      </c>
      <c r="J79" s="94">
        <f>SUM(J18:J78)</f>
        <v>4255</v>
      </c>
      <c r="K79" s="94">
        <f>SUM(K18:K78)</f>
        <v>760</v>
      </c>
      <c r="L79" s="94">
        <f>SUM(L18:L78)</f>
        <v>4174</v>
      </c>
      <c r="M79" s="94">
        <f>SUM(M18:M78)</f>
        <v>718</v>
      </c>
      <c r="N79" s="94">
        <f t="shared" ref="N79:U79" si="3">SUM(N18:N73)</f>
        <v>4087</v>
      </c>
      <c r="O79" s="94">
        <f t="shared" si="3"/>
        <v>750</v>
      </c>
      <c r="P79" s="94">
        <f t="shared" si="3"/>
        <v>4077</v>
      </c>
      <c r="Q79" s="94">
        <f>SUM(Q18:Q78)</f>
        <v>704</v>
      </c>
      <c r="R79" s="94">
        <f>SUM(R18:R78)</f>
        <v>4058</v>
      </c>
      <c r="S79" s="94">
        <f>SUM(S18:S78)</f>
        <v>692</v>
      </c>
      <c r="T79" s="94">
        <f>SUM(T18:T78)</f>
        <v>3963</v>
      </c>
      <c r="U79" s="95">
        <f t="shared" si="3"/>
        <v>688</v>
      </c>
    </row>
    <row r="80" spans="1:21" s="255" customFormat="1" ht="29.15" customHeight="1" x14ac:dyDescent="0.55000000000000004">
      <c r="A80" s="696" t="s">
        <v>189</v>
      </c>
      <c r="B80" s="700" t="s">
        <v>208</v>
      </c>
      <c r="C80" s="700"/>
      <c r="D80" s="700"/>
      <c r="E80" s="700"/>
      <c r="F80" s="88">
        <v>12</v>
      </c>
      <c r="G80" s="82">
        <v>10</v>
      </c>
      <c r="H80" s="89">
        <v>11</v>
      </c>
      <c r="I80" s="89">
        <v>9</v>
      </c>
      <c r="J80" s="89">
        <v>11</v>
      </c>
      <c r="K80" s="89">
        <v>9</v>
      </c>
      <c r="L80" s="89">
        <v>11</v>
      </c>
      <c r="M80" s="89">
        <v>11</v>
      </c>
      <c r="N80" s="89">
        <v>10</v>
      </c>
      <c r="O80" s="89">
        <v>11</v>
      </c>
      <c r="P80" s="89">
        <v>10</v>
      </c>
      <c r="Q80" s="89">
        <v>11</v>
      </c>
      <c r="R80" s="89">
        <v>10</v>
      </c>
      <c r="S80" s="89">
        <v>11</v>
      </c>
      <c r="T80" s="89">
        <v>10</v>
      </c>
      <c r="U80" s="90">
        <v>11</v>
      </c>
    </row>
    <row r="81" spans="1:21" s="255" customFormat="1" ht="29.15" customHeight="1" x14ac:dyDescent="0.55000000000000004">
      <c r="A81" s="697"/>
      <c r="B81" s="701" t="s">
        <v>61</v>
      </c>
      <c r="C81" s="701"/>
      <c r="D81" s="701"/>
      <c r="E81" s="61" t="s">
        <v>190</v>
      </c>
      <c r="F81" s="87" t="s">
        <v>50</v>
      </c>
      <c r="G81" s="83">
        <v>7</v>
      </c>
      <c r="H81" s="83" t="s">
        <v>50</v>
      </c>
      <c r="I81" s="83">
        <v>7</v>
      </c>
      <c r="J81" s="83" t="s">
        <v>50</v>
      </c>
      <c r="K81" s="83">
        <v>5</v>
      </c>
      <c r="L81" s="83" t="s">
        <v>50</v>
      </c>
      <c r="M81" s="83">
        <v>5</v>
      </c>
      <c r="N81" s="83" t="s">
        <v>50</v>
      </c>
      <c r="O81" s="83">
        <v>5</v>
      </c>
      <c r="P81" s="83" t="s">
        <v>50</v>
      </c>
      <c r="Q81" s="83">
        <v>5</v>
      </c>
      <c r="R81" s="83" t="s">
        <v>50</v>
      </c>
      <c r="S81" s="83">
        <v>5</v>
      </c>
      <c r="T81" s="83" t="s">
        <v>50</v>
      </c>
      <c r="U81" s="85">
        <v>5</v>
      </c>
    </row>
    <row r="82" spans="1:21" s="255" customFormat="1" ht="29.15" customHeight="1" thickBot="1" x14ac:dyDescent="0.6">
      <c r="A82" s="697"/>
      <c r="B82" s="702"/>
      <c r="C82" s="702"/>
      <c r="D82" s="702"/>
      <c r="E82" s="74" t="s">
        <v>191</v>
      </c>
      <c r="F82" s="91" t="s">
        <v>50</v>
      </c>
      <c r="G82" s="92">
        <v>2</v>
      </c>
      <c r="H82" s="92" t="s">
        <v>50</v>
      </c>
      <c r="I82" s="92">
        <v>2</v>
      </c>
      <c r="J82" s="92" t="s">
        <v>50</v>
      </c>
      <c r="K82" s="92">
        <v>2</v>
      </c>
      <c r="L82" s="92" t="s">
        <v>50</v>
      </c>
      <c r="M82" s="92">
        <v>2</v>
      </c>
      <c r="N82" s="92" t="s">
        <v>50</v>
      </c>
      <c r="O82" s="92">
        <v>2</v>
      </c>
      <c r="P82" s="92" t="s">
        <v>50</v>
      </c>
      <c r="Q82" s="92">
        <v>2</v>
      </c>
      <c r="R82" s="92" t="s">
        <v>50</v>
      </c>
      <c r="S82" s="92">
        <v>3</v>
      </c>
      <c r="T82" s="92" t="s">
        <v>50</v>
      </c>
      <c r="U82" s="93">
        <v>3</v>
      </c>
    </row>
    <row r="83" spans="1:21" s="255" customFormat="1" ht="29.15" customHeight="1" thickTop="1" x14ac:dyDescent="0.55000000000000004">
      <c r="A83" s="698"/>
      <c r="B83" s="699" t="s">
        <v>62</v>
      </c>
      <c r="C83" s="699"/>
      <c r="D83" s="699"/>
      <c r="E83" s="699"/>
      <c r="F83" s="94">
        <f t="shared" ref="F83:G83" si="4">SUM(F80:F82)</f>
        <v>12</v>
      </c>
      <c r="G83" s="94">
        <f t="shared" si="4"/>
        <v>19</v>
      </c>
      <c r="H83" s="94">
        <v>11</v>
      </c>
      <c r="I83" s="94">
        <v>18</v>
      </c>
      <c r="J83" s="94">
        <f t="shared" ref="J83:M83" si="5">SUM(J80:J82)</f>
        <v>11</v>
      </c>
      <c r="K83" s="94">
        <f t="shared" si="5"/>
        <v>16</v>
      </c>
      <c r="L83" s="94">
        <f t="shared" si="5"/>
        <v>11</v>
      </c>
      <c r="M83" s="94">
        <f t="shared" si="5"/>
        <v>18</v>
      </c>
      <c r="N83" s="94">
        <f t="shared" ref="N83:U83" si="6">SUM(N80:N82)</f>
        <v>10</v>
      </c>
      <c r="O83" s="94">
        <f t="shared" si="6"/>
        <v>18</v>
      </c>
      <c r="P83" s="94">
        <f t="shared" si="6"/>
        <v>10</v>
      </c>
      <c r="Q83" s="94">
        <f t="shared" si="6"/>
        <v>18</v>
      </c>
      <c r="R83" s="94">
        <f t="shared" si="6"/>
        <v>10</v>
      </c>
      <c r="S83" s="94">
        <f t="shared" si="6"/>
        <v>19</v>
      </c>
      <c r="T83" s="94">
        <f t="shared" si="6"/>
        <v>10</v>
      </c>
      <c r="U83" s="95">
        <f t="shared" si="6"/>
        <v>19</v>
      </c>
    </row>
    <row r="84" spans="1:21" s="255" customFormat="1" ht="29.15" customHeight="1" thickBot="1" x14ac:dyDescent="0.6">
      <c r="A84" s="692" t="s">
        <v>205</v>
      </c>
      <c r="B84" s="693"/>
      <c r="C84" s="693"/>
      <c r="D84" s="693"/>
      <c r="E84" s="693"/>
      <c r="F84" s="97">
        <v>150</v>
      </c>
      <c r="G84" s="98">
        <v>94</v>
      </c>
      <c r="H84" s="98">
        <v>82</v>
      </c>
      <c r="I84" s="98">
        <v>113</v>
      </c>
      <c r="J84" s="98">
        <v>33</v>
      </c>
      <c r="K84" s="98">
        <v>98</v>
      </c>
      <c r="L84" s="98">
        <v>14</v>
      </c>
      <c r="M84" s="98">
        <v>98</v>
      </c>
      <c r="N84" s="98">
        <v>15</v>
      </c>
      <c r="O84" s="98">
        <v>95</v>
      </c>
      <c r="P84" s="98">
        <v>18</v>
      </c>
      <c r="Q84" s="98">
        <v>126</v>
      </c>
      <c r="R84" s="98">
        <v>16</v>
      </c>
      <c r="S84" s="98">
        <v>95</v>
      </c>
      <c r="T84" s="98">
        <v>14</v>
      </c>
      <c r="U84" s="99">
        <v>98</v>
      </c>
    </row>
    <row r="85" spans="1:21" s="255" customFormat="1" ht="29.15" customHeight="1" thickTop="1" x14ac:dyDescent="0.55000000000000004">
      <c r="A85" s="710" t="s">
        <v>206</v>
      </c>
      <c r="B85" s="711"/>
      <c r="C85" s="711"/>
      <c r="D85" s="711"/>
      <c r="E85" s="712"/>
      <c r="F85" s="96">
        <f t="shared" ref="F85:G85" si="7">F17+F79+F83+F84</f>
        <v>5186</v>
      </c>
      <c r="G85" s="96">
        <f t="shared" si="7"/>
        <v>1130</v>
      </c>
      <c r="H85" s="94">
        <v>5146</v>
      </c>
      <c r="I85" s="96">
        <v>1223</v>
      </c>
      <c r="J85" s="96">
        <f t="shared" ref="J85:M85" si="8">J17+J79+J83+J84</f>
        <v>4686</v>
      </c>
      <c r="K85" s="96">
        <f t="shared" si="8"/>
        <v>1334</v>
      </c>
      <c r="L85" s="96">
        <f t="shared" si="8"/>
        <v>4586</v>
      </c>
      <c r="M85" s="96">
        <f t="shared" si="8"/>
        <v>1313</v>
      </c>
      <c r="N85" s="96">
        <f t="shared" ref="N85:U85" si="9">N17+N79+N83+N84</f>
        <v>4493</v>
      </c>
      <c r="O85" s="96">
        <f t="shared" si="9"/>
        <v>1346</v>
      </c>
      <c r="P85" s="96">
        <f t="shared" si="9"/>
        <v>4486</v>
      </c>
      <c r="Q85" s="96">
        <f t="shared" si="9"/>
        <v>1335</v>
      </c>
      <c r="R85" s="96">
        <f t="shared" si="9"/>
        <v>4455</v>
      </c>
      <c r="S85" s="96">
        <f t="shared" si="9"/>
        <v>1297</v>
      </c>
      <c r="T85" s="96">
        <f t="shared" si="9"/>
        <v>4357</v>
      </c>
      <c r="U85" s="95">
        <f t="shared" si="9"/>
        <v>1303</v>
      </c>
    </row>
  </sheetData>
  <customSheetViews>
    <customSheetView guid="{501209ED-4B79-4E52-B95E-748E5E77E24F}">
      <pane xSplit="5" ySplit="7" topLeftCell="F9" activePane="bottomRight" state="frozen"/>
      <selection pane="bottomRight" activeCell="F9" sqref="F9"/>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52">
    <mergeCell ref="L7:M7"/>
    <mergeCell ref="A9:A17"/>
    <mergeCell ref="B9:E9"/>
    <mergeCell ref="B10:E10"/>
    <mergeCell ref="B11:E11"/>
    <mergeCell ref="B12:E12"/>
    <mergeCell ref="B13:E13"/>
    <mergeCell ref="B16:E16"/>
    <mergeCell ref="B17:E17"/>
    <mergeCell ref="H7:I7"/>
    <mergeCell ref="F7:G7"/>
    <mergeCell ref="B14:E14"/>
    <mergeCell ref="B15:E15"/>
    <mergeCell ref="A18:A79"/>
    <mergeCell ref="B18:E18"/>
    <mergeCell ref="B19:B30"/>
    <mergeCell ref="C19:E19"/>
    <mergeCell ref="C20:E20"/>
    <mergeCell ref="C21:E21"/>
    <mergeCell ref="C22:E22"/>
    <mergeCell ref="C23:E23"/>
    <mergeCell ref="C24:E24"/>
    <mergeCell ref="C25:E25"/>
    <mergeCell ref="C26:E26"/>
    <mergeCell ref="C27:E27"/>
    <mergeCell ref="C28:E28"/>
    <mergeCell ref="C29:E29"/>
    <mergeCell ref="C30:E30"/>
    <mergeCell ref="C43:C54"/>
    <mergeCell ref="D43:D54"/>
    <mergeCell ref="B55:B66"/>
    <mergeCell ref="C55:C66"/>
    <mergeCell ref="D55:D66"/>
    <mergeCell ref="B31:B42"/>
    <mergeCell ref="C31:C42"/>
    <mergeCell ref="D31:D42"/>
    <mergeCell ref="A84:E84"/>
    <mergeCell ref="A85:E85"/>
    <mergeCell ref="J7:K7"/>
    <mergeCell ref="T7:U7"/>
    <mergeCell ref="R7:S7"/>
    <mergeCell ref="P7:Q7"/>
    <mergeCell ref="N7:O7"/>
    <mergeCell ref="B67:B78"/>
    <mergeCell ref="C67:C78"/>
    <mergeCell ref="D67:D78"/>
    <mergeCell ref="B79:E79"/>
    <mergeCell ref="A80:A83"/>
    <mergeCell ref="B80:E80"/>
    <mergeCell ref="B81:D82"/>
    <mergeCell ref="B83:E83"/>
    <mergeCell ref="B43:B54"/>
  </mergeCells>
  <phoneticPr fontId="1"/>
  <conditionalFormatting sqref="H9:I13 H16:I85">
    <cfRule type="containsBlanks" dxfId="47" priority="15">
      <formula>LEN(TRIM(H9))=0</formula>
    </cfRule>
  </conditionalFormatting>
  <conditionalFormatting sqref="F19:G30 F33:G42 F56:G66 G55">
    <cfRule type="containsBlanks" dxfId="46" priority="14">
      <formula>LEN(TRIM(F19))=0</formula>
    </cfRule>
  </conditionalFormatting>
  <conditionalFormatting sqref="H14:I15">
    <cfRule type="containsBlanks" dxfId="45" priority="12">
      <formula>LEN(TRIM(H14))=0</formula>
    </cfRule>
  </conditionalFormatting>
  <conditionalFormatting sqref="F84:G84">
    <cfRule type="containsBlanks" dxfId="44" priority="1">
      <formula>LEN(TRIM(F84))=0</formula>
    </cfRule>
  </conditionalFormatting>
  <conditionalFormatting sqref="F9:G16">
    <cfRule type="containsBlanks" dxfId="43" priority="10">
      <formula>LEN(TRIM(F9))=0</formula>
    </cfRule>
  </conditionalFormatting>
  <conditionalFormatting sqref="F18:G18">
    <cfRule type="containsBlanks" dxfId="42" priority="9">
      <formula>LEN(TRIM(F18))=0</formula>
    </cfRule>
  </conditionalFormatting>
  <conditionalFormatting sqref="F31:G32">
    <cfRule type="containsBlanks" dxfId="41" priority="8">
      <formula>LEN(TRIM(F31))=0</formula>
    </cfRule>
  </conditionalFormatting>
  <conditionalFormatting sqref="F43:G49">
    <cfRule type="containsBlanks" dxfId="40" priority="7">
      <formula>LEN(TRIM(F43))=0</formula>
    </cfRule>
  </conditionalFormatting>
  <conditionalFormatting sqref="F50:G54">
    <cfRule type="containsBlanks" dxfId="39" priority="6">
      <formula>LEN(TRIM(F50))=0</formula>
    </cfRule>
  </conditionalFormatting>
  <conditionalFormatting sqref="F55">
    <cfRule type="containsBlanks" dxfId="38" priority="5">
      <formula>LEN(TRIM(F55))=0</formula>
    </cfRule>
  </conditionalFormatting>
  <conditionalFormatting sqref="F67:G73">
    <cfRule type="containsBlanks" dxfId="37" priority="4">
      <formula>LEN(TRIM(F67))=0</formula>
    </cfRule>
  </conditionalFormatting>
  <conditionalFormatting sqref="F74:G78">
    <cfRule type="containsBlanks" dxfId="36" priority="3">
      <formula>LEN(TRIM(F74))=0</formula>
    </cfRule>
  </conditionalFormatting>
  <conditionalFormatting sqref="F80:G82">
    <cfRule type="containsBlanks" dxfId="35" priority="2">
      <formula>LEN(TRIM(F80))=0</formula>
    </cfRule>
  </conditionalFormatting>
  <hyperlinks>
    <hyperlink ref="A1:D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zoomScaleNormal="100" workbookViewId="0">
      <pane xSplit="5" ySplit="8" topLeftCell="F9" activePane="bottomRight" state="frozen"/>
      <selection pane="topRight" activeCell="F1" sqref="F1"/>
      <selection pane="bottomLeft" activeCell="A9" sqref="A9"/>
      <selection pane="bottomRight" activeCell="B1" sqref="B1"/>
    </sheetView>
  </sheetViews>
  <sheetFormatPr defaultColWidth="8.58203125" defaultRowHeight="14.5" x14ac:dyDescent="0.35"/>
  <cols>
    <col min="1" max="4" width="3" style="4" bestFit="1" customWidth="1"/>
    <col min="5" max="5" width="18.08203125" style="4" bestFit="1" customWidth="1"/>
    <col min="6" max="8" width="10.33203125" style="1" customWidth="1"/>
    <col min="9" max="9" width="10.33203125" style="1" bestFit="1" customWidth="1"/>
    <col min="10" max="11" width="10.33203125" style="2" bestFit="1" customWidth="1"/>
    <col min="12" max="12" width="10.33203125" style="1" bestFit="1" customWidth="1"/>
    <col min="13" max="21" width="10.83203125" style="1" bestFit="1" customWidth="1"/>
    <col min="22" max="23" width="10.33203125" style="1" bestFit="1" customWidth="1"/>
    <col min="24" max="16384" width="8.58203125" style="1"/>
  </cols>
  <sheetData>
    <row r="1" spans="1:23" x14ac:dyDescent="0.35">
      <c r="A1" s="432" t="s">
        <v>438</v>
      </c>
      <c r="B1" s="434"/>
      <c r="C1" s="434"/>
      <c r="D1" s="434"/>
    </row>
    <row r="3" spans="1:23" s="8" customFormat="1" ht="20.149999999999999" customHeight="1" x14ac:dyDescent="0.45">
      <c r="A3" s="6" t="s">
        <v>181</v>
      </c>
      <c r="C3" s="6"/>
      <c r="D3" s="6"/>
      <c r="E3" s="6"/>
    </row>
    <row r="4" spans="1:23" s="8" customFormat="1" ht="20.149999999999999" customHeight="1" x14ac:dyDescent="0.45">
      <c r="A4" s="6" t="s">
        <v>229</v>
      </c>
      <c r="C4" s="6"/>
      <c r="D4" s="6"/>
      <c r="E4" s="6"/>
    </row>
    <row r="5" spans="1:23" s="8" customFormat="1" ht="18.5" x14ac:dyDescent="0.45">
      <c r="A5" s="6"/>
      <c r="C5" s="6"/>
      <c r="D5" s="6"/>
      <c r="E5" s="6"/>
    </row>
    <row r="6" spans="1:23" s="8" customFormat="1" ht="18.5" x14ac:dyDescent="0.45">
      <c r="A6" s="5" t="s">
        <v>1077</v>
      </c>
      <c r="C6" s="6"/>
      <c r="D6" s="6"/>
      <c r="E6" s="6"/>
    </row>
    <row r="7" spans="1:23" s="8" customFormat="1" ht="14.5" customHeight="1" x14ac:dyDescent="0.35"/>
    <row r="8" spans="1:23" s="5" customFormat="1" ht="14.5" customHeight="1" x14ac:dyDescent="0.35">
      <c r="A8" s="5" t="s">
        <v>32</v>
      </c>
      <c r="B8" s="3"/>
      <c r="C8" s="3"/>
      <c r="D8" s="3"/>
      <c r="E8" s="3"/>
    </row>
    <row r="9" spans="1:23" s="21" customFormat="1" ht="20.149999999999999" customHeight="1" x14ac:dyDescent="0.35">
      <c r="A9" s="42"/>
      <c r="B9" s="42"/>
      <c r="C9" s="42"/>
      <c r="D9" s="42"/>
      <c r="E9" s="42"/>
      <c r="F9" s="622" t="s">
        <v>1129</v>
      </c>
      <c r="G9" s="596" t="s">
        <v>1112</v>
      </c>
      <c r="H9" s="325" t="s">
        <v>1088</v>
      </c>
      <c r="I9" s="521" t="s">
        <v>1079</v>
      </c>
      <c r="J9" s="325" t="s">
        <v>217</v>
      </c>
      <c r="K9" s="325" t="s">
        <v>218</v>
      </c>
      <c r="L9" s="325" t="s">
        <v>219</v>
      </c>
      <c r="M9" s="325" t="s">
        <v>220</v>
      </c>
      <c r="N9" s="45"/>
      <c r="O9" s="45"/>
      <c r="P9" s="45"/>
      <c r="Q9" s="45"/>
      <c r="R9" s="45"/>
      <c r="S9" s="45"/>
      <c r="T9" s="45"/>
      <c r="U9" s="45"/>
      <c r="V9" s="45"/>
      <c r="W9" s="45"/>
    </row>
    <row r="10" spans="1:23" ht="29.15" customHeight="1" x14ac:dyDescent="0.3">
      <c r="A10" s="696" t="s">
        <v>183</v>
      </c>
      <c r="B10" s="689" t="s">
        <v>210</v>
      </c>
      <c r="C10" s="689"/>
      <c r="D10" s="689"/>
      <c r="E10" s="726"/>
      <c r="F10" s="100">
        <v>137336</v>
      </c>
      <c r="G10" s="100">
        <v>144082</v>
      </c>
      <c r="H10" s="100">
        <v>151390</v>
      </c>
      <c r="I10" s="100">
        <v>158270</v>
      </c>
      <c r="J10" s="64">
        <v>165610</v>
      </c>
      <c r="K10" s="64">
        <v>173878</v>
      </c>
      <c r="L10" s="64">
        <v>182220</v>
      </c>
      <c r="M10" s="65">
        <v>191370</v>
      </c>
      <c r="N10" s="40"/>
      <c r="O10" s="40"/>
      <c r="P10" s="40"/>
      <c r="Q10" s="40"/>
      <c r="R10" s="40"/>
      <c r="S10" s="40"/>
      <c r="T10" s="40"/>
      <c r="U10" s="40"/>
      <c r="V10" s="40"/>
      <c r="W10" s="40"/>
    </row>
    <row r="11" spans="1:23" ht="29.15" customHeight="1" x14ac:dyDescent="0.3">
      <c r="A11" s="697"/>
      <c r="B11" s="687" t="s">
        <v>211</v>
      </c>
      <c r="C11" s="687"/>
      <c r="D11" s="687"/>
      <c r="E11" s="691"/>
      <c r="F11" s="101">
        <v>7368</v>
      </c>
      <c r="G11" s="101">
        <v>7562</v>
      </c>
      <c r="H11" s="101">
        <v>7612</v>
      </c>
      <c r="I11" s="101">
        <v>7854</v>
      </c>
      <c r="J11" s="62">
        <v>8154</v>
      </c>
      <c r="K11" s="62">
        <v>8644</v>
      </c>
      <c r="L11" s="62">
        <v>9162</v>
      </c>
      <c r="M11" s="66">
        <v>9742</v>
      </c>
      <c r="N11" s="40"/>
      <c r="O11" s="40"/>
      <c r="P11" s="40"/>
      <c r="Q11" s="40"/>
      <c r="R11" s="40"/>
      <c r="S11" s="40"/>
      <c r="T11" s="40"/>
      <c r="U11" s="40"/>
      <c r="V11" s="40"/>
      <c r="W11" s="40"/>
    </row>
    <row r="12" spans="1:23" ht="29.15" customHeight="1" x14ac:dyDescent="0.3">
      <c r="A12" s="697"/>
      <c r="B12" s="687" t="s">
        <v>212</v>
      </c>
      <c r="C12" s="687"/>
      <c r="D12" s="687"/>
      <c r="E12" s="691"/>
      <c r="F12" s="101">
        <v>91783</v>
      </c>
      <c r="G12" s="101">
        <v>91008</v>
      </c>
      <c r="H12" s="101">
        <v>90199</v>
      </c>
      <c r="I12" s="101">
        <v>86947</v>
      </c>
      <c r="J12" s="62">
        <v>84945.600000000006</v>
      </c>
      <c r="K12" s="62">
        <v>83467.199999999997</v>
      </c>
      <c r="L12" s="62">
        <v>81844.800000000003</v>
      </c>
      <c r="M12" s="66">
        <v>80563.199999999997</v>
      </c>
      <c r="N12" s="40"/>
      <c r="O12" s="40"/>
      <c r="P12" s="40"/>
      <c r="Q12" s="40"/>
      <c r="R12" s="40"/>
      <c r="S12" s="40"/>
      <c r="T12" s="40"/>
      <c r="U12" s="40"/>
      <c r="V12" s="40"/>
      <c r="W12" s="40"/>
    </row>
    <row r="13" spans="1:23" ht="29.15" customHeight="1" x14ac:dyDescent="0.3">
      <c r="A13" s="697"/>
      <c r="B13" s="687" t="s">
        <v>213</v>
      </c>
      <c r="C13" s="687"/>
      <c r="D13" s="687"/>
      <c r="E13" s="691"/>
      <c r="F13" s="101">
        <v>5350</v>
      </c>
      <c r="G13" s="101">
        <v>5180</v>
      </c>
      <c r="H13" s="101">
        <v>5169</v>
      </c>
      <c r="I13" s="101">
        <v>4914</v>
      </c>
      <c r="J13" s="62">
        <v>4732.3</v>
      </c>
      <c r="K13" s="62">
        <v>4588</v>
      </c>
      <c r="L13" s="62">
        <v>4547.3</v>
      </c>
      <c r="M13" s="66">
        <v>4377.1000000000004</v>
      </c>
      <c r="N13" s="40"/>
      <c r="O13" s="40"/>
      <c r="P13" s="40"/>
      <c r="Q13" s="40"/>
      <c r="R13" s="40"/>
      <c r="S13" s="40"/>
      <c r="T13" s="40"/>
      <c r="U13" s="40"/>
      <c r="V13" s="40"/>
      <c r="W13" s="40"/>
    </row>
    <row r="14" spans="1:23" ht="29.15" customHeight="1" x14ac:dyDescent="0.3">
      <c r="A14" s="697"/>
      <c r="B14" s="687" t="s">
        <v>214</v>
      </c>
      <c r="C14" s="687"/>
      <c r="D14" s="687"/>
      <c r="E14" s="691"/>
      <c r="F14" s="101">
        <v>1416</v>
      </c>
      <c r="G14" s="101">
        <v>936</v>
      </c>
      <c r="H14" s="101">
        <v>768</v>
      </c>
      <c r="I14" s="101">
        <v>480</v>
      </c>
      <c r="J14" s="62">
        <v>346</v>
      </c>
      <c r="K14" s="62">
        <v>330</v>
      </c>
      <c r="L14" s="62">
        <v>276</v>
      </c>
      <c r="M14" s="66">
        <v>240</v>
      </c>
      <c r="N14" s="39"/>
      <c r="O14" s="39"/>
      <c r="P14" s="39"/>
      <c r="Q14" s="39"/>
      <c r="R14" s="39"/>
      <c r="S14" s="39"/>
      <c r="T14" s="39"/>
      <c r="U14" s="39"/>
      <c r="V14" s="39"/>
      <c r="W14" s="39"/>
    </row>
    <row r="15" spans="1:23" ht="29.15" customHeight="1" x14ac:dyDescent="0.3">
      <c r="A15" s="697"/>
      <c r="B15" s="687" t="s">
        <v>1132</v>
      </c>
      <c r="C15" s="687"/>
      <c r="D15" s="687"/>
      <c r="E15" s="691"/>
      <c r="F15" s="645">
        <v>16</v>
      </c>
      <c r="G15" s="645">
        <v>16</v>
      </c>
      <c r="H15" s="645">
        <v>14</v>
      </c>
      <c r="I15" s="645">
        <v>14</v>
      </c>
      <c r="J15" s="212">
        <v>10</v>
      </c>
      <c r="K15" s="212">
        <v>10</v>
      </c>
      <c r="L15" s="212">
        <v>8</v>
      </c>
      <c r="M15" s="213">
        <v>8</v>
      </c>
      <c r="N15" s="39"/>
      <c r="O15" s="39"/>
      <c r="P15" s="39"/>
      <c r="Q15" s="39"/>
      <c r="R15" s="39"/>
      <c r="S15" s="39"/>
      <c r="T15" s="39"/>
      <c r="U15" s="39"/>
      <c r="V15" s="39"/>
      <c r="W15" s="39"/>
    </row>
    <row r="16" spans="1:23" ht="29.15" customHeight="1" x14ac:dyDescent="0.3">
      <c r="A16" s="697"/>
      <c r="B16" s="687" t="s">
        <v>1133</v>
      </c>
      <c r="C16" s="687"/>
      <c r="D16" s="687"/>
      <c r="E16" s="691"/>
      <c r="F16" s="645">
        <v>540</v>
      </c>
      <c r="G16" s="645">
        <v>341</v>
      </c>
      <c r="H16" s="645">
        <v>211</v>
      </c>
      <c r="I16" s="645">
        <v>113</v>
      </c>
      <c r="J16" s="212">
        <v>14</v>
      </c>
      <c r="K16" s="212">
        <v>12</v>
      </c>
      <c r="L16" s="212">
        <v>7</v>
      </c>
      <c r="M16" s="213">
        <v>7</v>
      </c>
      <c r="N16" s="39"/>
      <c r="O16" s="39"/>
      <c r="P16" s="39"/>
      <c r="Q16" s="39"/>
      <c r="R16" s="39"/>
      <c r="S16" s="39"/>
      <c r="T16" s="39"/>
      <c r="U16" s="39"/>
      <c r="V16" s="39"/>
      <c r="W16" s="39"/>
    </row>
    <row r="17" spans="1:13" ht="29.15" customHeight="1" thickBot="1" x14ac:dyDescent="0.35">
      <c r="A17" s="697"/>
      <c r="B17" s="690" t="s">
        <v>215</v>
      </c>
      <c r="C17" s="690"/>
      <c r="D17" s="690"/>
      <c r="E17" s="727"/>
      <c r="F17" s="586">
        <v>636</v>
      </c>
      <c r="G17" s="196">
        <v>588</v>
      </c>
      <c r="H17" s="196">
        <v>481</v>
      </c>
      <c r="I17" s="196">
        <v>448</v>
      </c>
      <c r="J17" s="71">
        <v>362.6</v>
      </c>
      <c r="K17" s="71">
        <v>340.4</v>
      </c>
      <c r="L17" s="71">
        <v>314.5</v>
      </c>
      <c r="M17" s="72">
        <v>281.2</v>
      </c>
    </row>
    <row r="18" spans="1:13" ht="29.15" customHeight="1" thickTop="1" x14ac:dyDescent="0.3">
      <c r="A18" s="698"/>
      <c r="B18" s="699" t="s">
        <v>62</v>
      </c>
      <c r="C18" s="699"/>
      <c r="D18" s="699"/>
      <c r="E18" s="723"/>
      <c r="F18" s="510">
        <f>SUM(F10:F17)</f>
        <v>244445</v>
      </c>
      <c r="G18" s="510">
        <v>249356</v>
      </c>
      <c r="H18" s="510">
        <f>SUM(H10:H17)</f>
        <v>255844</v>
      </c>
      <c r="I18" s="510">
        <f>SUM(I10:I17)</f>
        <v>259040</v>
      </c>
      <c r="J18" s="80">
        <f>SUM(J10:J17)</f>
        <v>264174.5</v>
      </c>
      <c r="K18" s="80">
        <f t="shared" ref="K18:L18" si="0">SUM(K10:K17)</f>
        <v>271269.60000000003</v>
      </c>
      <c r="L18" s="80">
        <f t="shared" si="0"/>
        <v>278379.59999999998</v>
      </c>
      <c r="M18" s="81">
        <f>SUM(M10:M17)</f>
        <v>286588.5</v>
      </c>
    </row>
    <row r="19" spans="1:13" ht="29.15" customHeight="1" x14ac:dyDescent="0.3">
      <c r="A19" s="696" t="s">
        <v>204</v>
      </c>
      <c r="B19" s="704" t="s">
        <v>184</v>
      </c>
      <c r="C19" s="704"/>
      <c r="D19" s="704"/>
      <c r="E19" s="725"/>
      <c r="F19" s="107">
        <v>79675</v>
      </c>
      <c r="G19" s="107">
        <v>80046</v>
      </c>
      <c r="H19" s="107">
        <v>80467</v>
      </c>
      <c r="I19" s="107">
        <v>79286</v>
      </c>
      <c r="J19" s="63">
        <v>79012.800000000003</v>
      </c>
      <c r="K19" s="63">
        <v>80654.399999999994</v>
      </c>
      <c r="L19" s="63">
        <v>81457.2</v>
      </c>
      <c r="M19" s="77">
        <v>83178</v>
      </c>
    </row>
    <row r="20" spans="1:13" ht="29.15" customHeight="1" x14ac:dyDescent="0.3">
      <c r="A20" s="697"/>
      <c r="B20" s="688" t="s">
        <v>209</v>
      </c>
      <c r="C20" s="687" t="s">
        <v>192</v>
      </c>
      <c r="D20" s="687"/>
      <c r="E20" s="691"/>
      <c r="F20" s="101">
        <v>12</v>
      </c>
      <c r="G20" s="101">
        <v>12</v>
      </c>
      <c r="H20" s="101">
        <v>12</v>
      </c>
      <c r="I20" s="101">
        <v>16</v>
      </c>
      <c r="J20" s="62">
        <v>15.5</v>
      </c>
      <c r="K20" s="62">
        <v>15.5</v>
      </c>
      <c r="L20" s="62">
        <v>15.5</v>
      </c>
      <c r="M20" s="66">
        <v>12.4</v>
      </c>
    </row>
    <row r="21" spans="1:13" ht="29.15" customHeight="1" x14ac:dyDescent="0.3">
      <c r="A21" s="697"/>
      <c r="B21" s="688"/>
      <c r="C21" s="687" t="s">
        <v>193</v>
      </c>
      <c r="D21" s="687"/>
      <c r="E21" s="691"/>
      <c r="F21" s="101" t="s">
        <v>50</v>
      </c>
      <c r="G21" s="101" t="s">
        <v>50</v>
      </c>
      <c r="H21" s="101" t="s">
        <v>50</v>
      </c>
      <c r="I21" s="101" t="s">
        <v>50</v>
      </c>
      <c r="J21" s="62" t="s">
        <v>50</v>
      </c>
      <c r="K21" s="62" t="s">
        <v>50</v>
      </c>
      <c r="L21" s="62" t="s">
        <v>50</v>
      </c>
      <c r="M21" s="66" t="s">
        <v>50</v>
      </c>
    </row>
    <row r="22" spans="1:13" ht="29.15" customHeight="1" x14ac:dyDescent="0.3">
      <c r="A22" s="697"/>
      <c r="B22" s="688"/>
      <c r="C22" s="687" t="s">
        <v>194</v>
      </c>
      <c r="D22" s="687"/>
      <c r="E22" s="691"/>
      <c r="F22" s="101">
        <v>14</v>
      </c>
      <c r="G22" s="101">
        <v>14</v>
      </c>
      <c r="H22" s="101">
        <v>14</v>
      </c>
      <c r="I22" s="101">
        <v>23</v>
      </c>
      <c r="J22" s="62">
        <v>23</v>
      </c>
      <c r="K22" s="62">
        <v>23</v>
      </c>
      <c r="L22" s="62">
        <v>18.399999999999999</v>
      </c>
      <c r="M22" s="66">
        <v>23</v>
      </c>
    </row>
    <row r="23" spans="1:13" ht="29.15" customHeight="1" x14ac:dyDescent="0.3">
      <c r="A23" s="697"/>
      <c r="B23" s="688"/>
      <c r="C23" s="687" t="s">
        <v>195</v>
      </c>
      <c r="D23" s="687"/>
      <c r="E23" s="691"/>
      <c r="F23" s="101" t="s">
        <v>50</v>
      </c>
      <c r="G23" s="101" t="s">
        <v>50</v>
      </c>
      <c r="H23" s="101" t="s">
        <v>50</v>
      </c>
      <c r="I23" s="101" t="s">
        <v>50</v>
      </c>
      <c r="J23" s="62" t="s">
        <v>50</v>
      </c>
      <c r="K23" s="62" t="s">
        <v>50</v>
      </c>
      <c r="L23" s="62" t="s">
        <v>50</v>
      </c>
      <c r="M23" s="66" t="s">
        <v>50</v>
      </c>
    </row>
    <row r="24" spans="1:13" ht="29.15" customHeight="1" x14ac:dyDescent="0.3">
      <c r="A24" s="697"/>
      <c r="B24" s="688"/>
      <c r="C24" s="687" t="s">
        <v>196</v>
      </c>
      <c r="D24" s="687"/>
      <c r="E24" s="691"/>
      <c r="F24" s="101" t="s">
        <v>50</v>
      </c>
      <c r="G24" s="101" t="s">
        <v>50</v>
      </c>
      <c r="H24" s="101" t="s">
        <v>50</v>
      </c>
      <c r="I24" s="101" t="s">
        <v>50</v>
      </c>
      <c r="J24" s="62" t="s">
        <v>50</v>
      </c>
      <c r="K24" s="62" t="s">
        <v>50</v>
      </c>
      <c r="L24" s="62" t="s">
        <v>50</v>
      </c>
      <c r="M24" s="66" t="s">
        <v>50</v>
      </c>
    </row>
    <row r="25" spans="1:13" ht="29.15" customHeight="1" x14ac:dyDescent="0.3">
      <c r="A25" s="697"/>
      <c r="B25" s="688"/>
      <c r="C25" s="687" t="s">
        <v>197</v>
      </c>
      <c r="D25" s="687"/>
      <c r="E25" s="691"/>
      <c r="F25" s="101" t="s">
        <v>50</v>
      </c>
      <c r="G25" s="101" t="s">
        <v>50</v>
      </c>
      <c r="H25" s="101" t="s">
        <v>50</v>
      </c>
      <c r="I25" s="101" t="s">
        <v>50</v>
      </c>
      <c r="J25" s="62" t="s">
        <v>50</v>
      </c>
      <c r="K25" s="62" t="s">
        <v>50</v>
      </c>
      <c r="L25" s="62" t="s">
        <v>50</v>
      </c>
      <c r="M25" s="66" t="s">
        <v>50</v>
      </c>
    </row>
    <row r="26" spans="1:13" ht="29.15" customHeight="1" x14ac:dyDescent="0.3">
      <c r="A26" s="697"/>
      <c r="B26" s="688"/>
      <c r="C26" s="687" t="s">
        <v>198</v>
      </c>
      <c r="D26" s="687"/>
      <c r="E26" s="691"/>
      <c r="F26" s="101" t="s">
        <v>50</v>
      </c>
      <c r="G26" s="101" t="s">
        <v>50</v>
      </c>
      <c r="H26" s="101" t="s">
        <v>50</v>
      </c>
      <c r="I26" s="101">
        <v>3</v>
      </c>
      <c r="J26" s="62">
        <v>3.1</v>
      </c>
      <c r="K26" s="62" t="s">
        <v>50</v>
      </c>
      <c r="L26" s="62">
        <v>3.1</v>
      </c>
      <c r="M26" s="66">
        <v>3.1</v>
      </c>
    </row>
    <row r="27" spans="1:13" ht="29.15" customHeight="1" x14ac:dyDescent="0.3">
      <c r="A27" s="697"/>
      <c r="B27" s="688"/>
      <c r="C27" s="687" t="s">
        <v>199</v>
      </c>
      <c r="D27" s="687"/>
      <c r="E27" s="691"/>
      <c r="F27" s="101" t="s">
        <v>50</v>
      </c>
      <c r="G27" s="101" t="s">
        <v>50</v>
      </c>
      <c r="H27" s="101" t="s">
        <v>50</v>
      </c>
      <c r="I27" s="101" t="s">
        <v>50</v>
      </c>
      <c r="J27" s="62" t="s">
        <v>50</v>
      </c>
      <c r="K27" s="62" t="s">
        <v>50</v>
      </c>
      <c r="L27" s="62" t="s">
        <v>50</v>
      </c>
      <c r="M27" s="66" t="s">
        <v>50</v>
      </c>
    </row>
    <row r="28" spans="1:13" ht="29.15" customHeight="1" x14ac:dyDescent="0.3">
      <c r="A28" s="697"/>
      <c r="B28" s="688"/>
      <c r="C28" s="687" t="s">
        <v>200</v>
      </c>
      <c r="D28" s="687"/>
      <c r="E28" s="691"/>
      <c r="F28" s="101" t="s">
        <v>50</v>
      </c>
      <c r="G28" s="101" t="s">
        <v>50</v>
      </c>
      <c r="H28" s="101" t="s">
        <v>50</v>
      </c>
      <c r="I28" s="101" t="s">
        <v>50</v>
      </c>
      <c r="J28" s="62" t="s">
        <v>50</v>
      </c>
      <c r="K28" s="62">
        <v>4.5999999999999996</v>
      </c>
      <c r="L28" s="62" t="s">
        <v>50</v>
      </c>
      <c r="M28" s="66" t="s">
        <v>50</v>
      </c>
    </row>
    <row r="29" spans="1:13" ht="29.15" customHeight="1" x14ac:dyDescent="0.3">
      <c r="A29" s="697"/>
      <c r="B29" s="688"/>
      <c r="C29" s="687" t="s">
        <v>201</v>
      </c>
      <c r="D29" s="687"/>
      <c r="E29" s="691"/>
      <c r="F29" s="101" t="s">
        <v>50</v>
      </c>
      <c r="G29" s="101" t="s">
        <v>50</v>
      </c>
      <c r="H29" s="101" t="s">
        <v>50</v>
      </c>
      <c r="I29" s="101" t="s">
        <v>50</v>
      </c>
      <c r="J29" s="62" t="s">
        <v>50</v>
      </c>
      <c r="K29" s="62" t="s">
        <v>50</v>
      </c>
      <c r="L29" s="62" t="s">
        <v>50</v>
      </c>
      <c r="M29" s="66" t="s">
        <v>50</v>
      </c>
    </row>
    <row r="30" spans="1:13" ht="29.15" customHeight="1" x14ac:dyDescent="0.3">
      <c r="A30" s="697"/>
      <c r="B30" s="688"/>
      <c r="C30" s="687" t="s">
        <v>202</v>
      </c>
      <c r="D30" s="687"/>
      <c r="E30" s="691"/>
      <c r="F30" s="101" t="s">
        <v>50</v>
      </c>
      <c r="G30" s="101" t="s">
        <v>50</v>
      </c>
      <c r="H30" s="101" t="s">
        <v>50</v>
      </c>
      <c r="I30" s="101" t="s">
        <v>50</v>
      </c>
      <c r="J30" s="62" t="s">
        <v>50</v>
      </c>
      <c r="K30" s="62" t="s">
        <v>50</v>
      </c>
      <c r="L30" s="62" t="s">
        <v>50</v>
      </c>
      <c r="M30" s="66" t="s">
        <v>50</v>
      </c>
    </row>
    <row r="31" spans="1:13" ht="29.15" customHeight="1" x14ac:dyDescent="0.3">
      <c r="A31" s="697"/>
      <c r="B31" s="688"/>
      <c r="C31" s="687" t="s">
        <v>203</v>
      </c>
      <c r="D31" s="687"/>
      <c r="E31" s="691"/>
      <c r="F31" s="101" t="s">
        <v>50</v>
      </c>
      <c r="G31" s="101" t="s">
        <v>50</v>
      </c>
      <c r="H31" s="101" t="s">
        <v>50</v>
      </c>
      <c r="I31" s="101" t="s">
        <v>50</v>
      </c>
      <c r="J31" s="62" t="s">
        <v>50</v>
      </c>
      <c r="K31" s="62" t="s">
        <v>50</v>
      </c>
      <c r="L31" s="62" t="s">
        <v>50</v>
      </c>
      <c r="M31" s="66" t="s">
        <v>50</v>
      </c>
    </row>
    <row r="32" spans="1:13" ht="29.15" customHeight="1" x14ac:dyDescent="0.3">
      <c r="A32" s="697"/>
      <c r="B32" s="683" t="s">
        <v>207</v>
      </c>
      <c r="C32" s="683" t="s">
        <v>185</v>
      </c>
      <c r="D32" s="688" t="s">
        <v>186</v>
      </c>
      <c r="E32" s="103" t="s">
        <v>192</v>
      </c>
      <c r="F32" s="101">
        <v>204</v>
      </c>
      <c r="G32" s="101">
        <v>165</v>
      </c>
      <c r="H32" s="101">
        <v>132</v>
      </c>
      <c r="I32" s="101">
        <v>132</v>
      </c>
      <c r="J32" s="62">
        <v>181.5</v>
      </c>
      <c r="K32" s="62">
        <v>143</v>
      </c>
      <c r="L32" s="62">
        <v>225.5</v>
      </c>
      <c r="M32" s="66">
        <v>247.5</v>
      </c>
    </row>
    <row r="33" spans="1:13" ht="29.15" customHeight="1" x14ac:dyDescent="0.3">
      <c r="A33" s="697"/>
      <c r="B33" s="684"/>
      <c r="C33" s="684"/>
      <c r="D33" s="688"/>
      <c r="E33" s="103" t="s">
        <v>193</v>
      </c>
      <c r="F33" s="101">
        <v>200</v>
      </c>
      <c r="G33" s="101">
        <v>145</v>
      </c>
      <c r="H33" s="101">
        <v>117</v>
      </c>
      <c r="I33" s="101">
        <v>104</v>
      </c>
      <c r="J33" s="62">
        <v>89.7</v>
      </c>
      <c r="K33" s="62">
        <v>75.900000000000006</v>
      </c>
      <c r="L33" s="62">
        <v>48.3</v>
      </c>
      <c r="M33" s="66">
        <v>34.5</v>
      </c>
    </row>
    <row r="34" spans="1:13" ht="29.15" customHeight="1" x14ac:dyDescent="0.3">
      <c r="A34" s="697"/>
      <c r="B34" s="684"/>
      <c r="C34" s="684"/>
      <c r="D34" s="688"/>
      <c r="E34" s="103" t="s">
        <v>194</v>
      </c>
      <c r="F34" s="101">
        <v>385</v>
      </c>
      <c r="G34" s="101">
        <v>213</v>
      </c>
      <c r="H34" s="101">
        <v>57</v>
      </c>
      <c r="I34" s="101">
        <v>49</v>
      </c>
      <c r="J34" s="62">
        <v>49.2</v>
      </c>
      <c r="K34" s="62">
        <v>123</v>
      </c>
      <c r="L34" s="62">
        <v>16.399999999999999</v>
      </c>
      <c r="M34" s="66">
        <v>16.399999999999999</v>
      </c>
    </row>
    <row r="35" spans="1:13" ht="29.15" customHeight="1" x14ac:dyDescent="0.3">
      <c r="A35" s="697"/>
      <c r="B35" s="684"/>
      <c r="C35" s="684"/>
      <c r="D35" s="688"/>
      <c r="E35" s="103" t="s">
        <v>195</v>
      </c>
      <c r="F35" s="101" t="s">
        <v>50</v>
      </c>
      <c r="G35" s="101">
        <v>4</v>
      </c>
      <c r="H35" s="101" t="s">
        <v>50</v>
      </c>
      <c r="I35" s="101" t="s">
        <v>50</v>
      </c>
      <c r="J35" s="62" t="s">
        <v>50</v>
      </c>
      <c r="K35" s="62" t="s">
        <v>50</v>
      </c>
      <c r="L35" s="62" t="s">
        <v>50</v>
      </c>
      <c r="M35" s="66" t="s">
        <v>50</v>
      </c>
    </row>
    <row r="36" spans="1:13" ht="29.15" customHeight="1" x14ac:dyDescent="0.3">
      <c r="A36" s="697"/>
      <c r="B36" s="684"/>
      <c r="C36" s="684"/>
      <c r="D36" s="688"/>
      <c r="E36" s="103" t="s">
        <v>196</v>
      </c>
      <c r="F36" s="101" t="s">
        <v>50</v>
      </c>
      <c r="G36" s="101" t="s">
        <v>50</v>
      </c>
      <c r="H36" s="101" t="s">
        <v>50</v>
      </c>
      <c r="I36" s="101" t="s">
        <v>50</v>
      </c>
      <c r="J36" s="62" t="s">
        <v>50</v>
      </c>
      <c r="K36" s="62" t="s">
        <v>50</v>
      </c>
      <c r="L36" s="62" t="s">
        <v>50</v>
      </c>
      <c r="M36" s="66">
        <v>3.5</v>
      </c>
    </row>
    <row r="37" spans="1:13" ht="29.15" customHeight="1" x14ac:dyDescent="0.3">
      <c r="A37" s="697"/>
      <c r="B37" s="684"/>
      <c r="C37" s="684"/>
      <c r="D37" s="688"/>
      <c r="E37" s="103" t="s">
        <v>197</v>
      </c>
      <c r="F37" s="101">
        <v>16</v>
      </c>
      <c r="G37" s="101" t="s">
        <v>50</v>
      </c>
      <c r="H37" s="101" t="s">
        <v>50</v>
      </c>
      <c r="I37" s="101" t="s">
        <v>50</v>
      </c>
      <c r="J37" s="62">
        <v>5.2</v>
      </c>
      <c r="K37" s="62" t="s">
        <v>50</v>
      </c>
      <c r="L37" s="62">
        <v>5.2</v>
      </c>
      <c r="M37" s="66">
        <v>5.2</v>
      </c>
    </row>
    <row r="38" spans="1:13" ht="29.15" customHeight="1" x14ac:dyDescent="0.3">
      <c r="A38" s="697"/>
      <c r="B38" s="684"/>
      <c r="C38" s="684"/>
      <c r="D38" s="688"/>
      <c r="E38" s="103" t="s">
        <v>198</v>
      </c>
      <c r="F38" s="101" t="s">
        <v>50</v>
      </c>
      <c r="G38" s="101" t="s">
        <v>50</v>
      </c>
      <c r="H38" s="101" t="s">
        <v>50</v>
      </c>
      <c r="I38" s="101" t="s">
        <v>50</v>
      </c>
      <c r="J38" s="62" t="s">
        <v>50</v>
      </c>
      <c r="K38" s="62" t="s">
        <v>50</v>
      </c>
      <c r="L38" s="62" t="s">
        <v>50</v>
      </c>
      <c r="M38" s="66" t="s">
        <v>50</v>
      </c>
    </row>
    <row r="39" spans="1:13" ht="29.15" customHeight="1" x14ac:dyDescent="0.3">
      <c r="A39" s="697"/>
      <c r="B39" s="684"/>
      <c r="C39" s="684"/>
      <c r="D39" s="688"/>
      <c r="E39" s="103" t="s">
        <v>199</v>
      </c>
      <c r="F39" s="101" t="s">
        <v>50</v>
      </c>
      <c r="G39" s="101" t="s">
        <v>50</v>
      </c>
      <c r="H39" s="101" t="s">
        <v>50</v>
      </c>
      <c r="I39" s="101" t="s">
        <v>50</v>
      </c>
      <c r="J39" s="62" t="s">
        <v>50</v>
      </c>
      <c r="K39" s="62" t="s">
        <v>50</v>
      </c>
      <c r="L39" s="62" t="s">
        <v>50</v>
      </c>
      <c r="M39" s="66" t="s">
        <v>50</v>
      </c>
    </row>
    <row r="40" spans="1:13" ht="29.15" customHeight="1" x14ac:dyDescent="0.3">
      <c r="A40" s="697"/>
      <c r="B40" s="684"/>
      <c r="C40" s="684"/>
      <c r="D40" s="688"/>
      <c r="E40" s="103" t="s">
        <v>200</v>
      </c>
      <c r="F40" s="101" t="s">
        <v>50</v>
      </c>
      <c r="G40" s="101" t="s">
        <v>50</v>
      </c>
      <c r="H40" s="101" t="s">
        <v>50</v>
      </c>
      <c r="I40" s="101" t="s">
        <v>50</v>
      </c>
      <c r="J40" s="62" t="s">
        <v>50</v>
      </c>
      <c r="K40" s="62" t="s">
        <v>50</v>
      </c>
      <c r="L40" s="62" t="s">
        <v>50</v>
      </c>
      <c r="M40" s="66" t="s">
        <v>50</v>
      </c>
    </row>
    <row r="41" spans="1:13" ht="29.15" customHeight="1" x14ac:dyDescent="0.3">
      <c r="A41" s="697"/>
      <c r="B41" s="684"/>
      <c r="C41" s="684"/>
      <c r="D41" s="688"/>
      <c r="E41" s="103" t="s">
        <v>201</v>
      </c>
      <c r="F41" s="101">
        <v>4</v>
      </c>
      <c r="G41" s="101" t="s">
        <v>50</v>
      </c>
      <c r="H41" s="101" t="s">
        <v>50</v>
      </c>
      <c r="I41" s="101" t="s">
        <v>50</v>
      </c>
      <c r="J41" s="62" t="s">
        <v>50</v>
      </c>
      <c r="K41" s="62" t="s">
        <v>50</v>
      </c>
      <c r="L41" s="62" t="s">
        <v>50</v>
      </c>
      <c r="M41" s="66" t="s">
        <v>50</v>
      </c>
    </row>
    <row r="42" spans="1:13" ht="29.15" customHeight="1" x14ac:dyDescent="0.3">
      <c r="A42" s="697"/>
      <c r="B42" s="684"/>
      <c r="C42" s="684"/>
      <c r="D42" s="688"/>
      <c r="E42" s="103" t="s">
        <v>202</v>
      </c>
      <c r="F42" s="101" t="s">
        <v>50</v>
      </c>
      <c r="G42" s="101" t="s">
        <v>50</v>
      </c>
      <c r="H42" s="101" t="s">
        <v>50</v>
      </c>
      <c r="I42" s="101" t="s">
        <v>50</v>
      </c>
      <c r="J42" s="62" t="s">
        <v>50</v>
      </c>
      <c r="K42" s="62" t="s">
        <v>50</v>
      </c>
      <c r="L42" s="62" t="s">
        <v>50</v>
      </c>
      <c r="M42" s="66" t="s">
        <v>50</v>
      </c>
    </row>
    <row r="43" spans="1:13" ht="29.15" customHeight="1" x14ac:dyDescent="0.3">
      <c r="A43" s="697"/>
      <c r="B43" s="685"/>
      <c r="C43" s="685"/>
      <c r="D43" s="688"/>
      <c r="E43" s="103" t="s">
        <v>203</v>
      </c>
      <c r="F43" s="101" t="s">
        <v>50</v>
      </c>
      <c r="G43" s="101" t="s">
        <v>50</v>
      </c>
      <c r="H43" s="101" t="s">
        <v>50</v>
      </c>
      <c r="I43" s="101" t="s">
        <v>50</v>
      </c>
      <c r="J43" s="62" t="s">
        <v>50</v>
      </c>
      <c r="K43" s="62" t="s">
        <v>50</v>
      </c>
      <c r="L43" s="62" t="s">
        <v>50</v>
      </c>
      <c r="M43" s="66" t="s">
        <v>50</v>
      </c>
    </row>
    <row r="44" spans="1:13" ht="29.15" customHeight="1" x14ac:dyDescent="0.3">
      <c r="A44" s="697"/>
      <c r="B44" s="683" t="s">
        <v>223</v>
      </c>
      <c r="C44" s="683" t="s">
        <v>221</v>
      </c>
      <c r="D44" s="688" t="s">
        <v>187</v>
      </c>
      <c r="E44" s="103" t="s">
        <v>192</v>
      </c>
      <c r="F44" s="101">
        <v>198605</v>
      </c>
      <c r="G44" s="101">
        <v>237211</v>
      </c>
      <c r="H44" s="101">
        <v>280296</v>
      </c>
      <c r="I44" s="101">
        <v>329141</v>
      </c>
      <c r="J44" s="62">
        <v>379288.8</v>
      </c>
      <c r="K44" s="62">
        <v>436514.4</v>
      </c>
      <c r="L44" s="62">
        <v>492393.6</v>
      </c>
      <c r="M44" s="66">
        <v>550980</v>
      </c>
    </row>
    <row r="45" spans="1:13" ht="29.15" customHeight="1" x14ac:dyDescent="0.3">
      <c r="A45" s="697"/>
      <c r="B45" s="684"/>
      <c r="C45" s="684"/>
      <c r="D45" s="688"/>
      <c r="E45" s="103" t="s">
        <v>193</v>
      </c>
      <c r="F45" s="101">
        <v>733946</v>
      </c>
      <c r="G45" s="101">
        <v>668110</v>
      </c>
      <c r="H45" s="101">
        <v>600070</v>
      </c>
      <c r="I45" s="101">
        <v>471841</v>
      </c>
      <c r="J45" s="62">
        <v>383400</v>
      </c>
      <c r="K45" s="62">
        <v>299170.8</v>
      </c>
      <c r="L45" s="83">
        <v>212220</v>
      </c>
      <c r="M45" s="85">
        <v>107838</v>
      </c>
    </row>
    <row r="46" spans="1:13" ht="29.15" customHeight="1" x14ac:dyDescent="0.3">
      <c r="A46" s="697"/>
      <c r="B46" s="684"/>
      <c r="C46" s="684"/>
      <c r="D46" s="688"/>
      <c r="E46" s="103" t="s">
        <v>194</v>
      </c>
      <c r="F46" s="101">
        <v>348984</v>
      </c>
      <c r="G46" s="101">
        <v>346197</v>
      </c>
      <c r="H46" s="101">
        <v>332085</v>
      </c>
      <c r="I46" s="101">
        <v>312993</v>
      </c>
      <c r="J46" s="62">
        <v>296029.2</v>
      </c>
      <c r="K46" s="62">
        <v>277956.3</v>
      </c>
      <c r="L46" s="83">
        <v>260850.9</v>
      </c>
      <c r="M46" s="85">
        <v>242429.7</v>
      </c>
    </row>
    <row r="47" spans="1:13" ht="29.15" customHeight="1" x14ac:dyDescent="0.3">
      <c r="A47" s="697"/>
      <c r="B47" s="684"/>
      <c r="C47" s="684"/>
      <c r="D47" s="688"/>
      <c r="E47" s="103" t="s">
        <v>195</v>
      </c>
      <c r="F47" s="101" t="s">
        <v>50</v>
      </c>
      <c r="G47" s="101" t="s">
        <v>50</v>
      </c>
      <c r="H47" s="101" t="s">
        <v>50</v>
      </c>
      <c r="I47" s="101" t="s">
        <v>50</v>
      </c>
      <c r="J47" s="62" t="s">
        <v>50</v>
      </c>
      <c r="K47" s="62" t="s">
        <v>50</v>
      </c>
      <c r="L47" s="83" t="s">
        <v>50</v>
      </c>
      <c r="M47" s="85" t="s">
        <v>50</v>
      </c>
    </row>
    <row r="48" spans="1:13" ht="29.15" customHeight="1" x14ac:dyDescent="0.3">
      <c r="A48" s="697"/>
      <c r="B48" s="684"/>
      <c r="C48" s="684"/>
      <c r="D48" s="688"/>
      <c r="E48" s="103" t="s">
        <v>196</v>
      </c>
      <c r="F48" s="101" t="s">
        <v>50</v>
      </c>
      <c r="G48" s="101" t="s">
        <v>50</v>
      </c>
      <c r="H48" s="101" t="s">
        <v>50</v>
      </c>
      <c r="I48" s="101">
        <v>5173</v>
      </c>
      <c r="J48" s="62">
        <v>8910</v>
      </c>
      <c r="K48" s="62">
        <v>10762.2</v>
      </c>
      <c r="L48" s="83">
        <v>13786.2</v>
      </c>
      <c r="M48" s="85">
        <v>19953</v>
      </c>
    </row>
    <row r="49" spans="1:13" ht="29.15" customHeight="1" x14ac:dyDescent="0.3">
      <c r="A49" s="697"/>
      <c r="B49" s="684"/>
      <c r="C49" s="684"/>
      <c r="D49" s="688"/>
      <c r="E49" s="103" t="s">
        <v>197</v>
      </c>
      <c r="F49" s="101" t="s">
        <v>50</v>
      </c>
      <c r="G49" s="101" t="s">
        <v>50</v>
      </c>
      <c r="H49" s="101" t="s">
        <v>50</v>
      </c>
      <c r="I49" s="101">
        <v>31760</v>
      </c>
      <c r="J49" s="62">
        <v>32691.599999999999</v>
      </c>
      <c r="K49" s="62">
        <v>28576.799999999999</v>
      </c>
      <c r="L49" s="83">
        <v>24405.3</v>
      </c>
      <c r="M49" s="85">
        <v>24591.599999999999</v>
      </c>
    </row>
    <row r="50" spans="1:13" ht="29.15" customHeight="1" x14ac:dyDescent="0.3">
      <c r="A50" s="697"/>
      <c r="B50" s="684"/>
      <c r="C50" s="684"/>
      <c r="D50" s="688"/>
      <c r="E50" s="103" t="s">
        <v>198</v>
      </c>
      <c r="F50" s="101">
        <v>583</v>
      </c>
      <c r="G50" s="101">
        <v>576</v>
      </c>
      <c r="H50" s="101">
        <v>590</v>
      </c>
      <c r="I50" s="101">
        <v>626</v>
      </c>
      <c r="J50" s="62">
        <v>640.79999999999995</v>
      </c>
      <c r="K50" s="62">
        <v>648</v>
      </c>
      <c r="L50" s="62">
        <v>691.2</v>
      </c>
      <c r="M50" s="66">
        <v>813.6</v>
      </c>
    </row>
    <row r="51" spans="1:13" ht="29.15" customHeight="1" x14ac:dyDescent="0.3">
      <c r="A51" s="697"/>
      <c r="B51" s="684"/>
      <c r="C51" s="684"/>
      <c r="D51" s="688"/>
      <c r="E51" s="103" t="s">
        <v>199</v>
      </c>
      <c r="F51" s="101">
        <v>4018</v>
      </c>
      <c r="G51" s="101">
        <v>248</v>
      </c>
      <c r="H51" s="101">
        <v>108</v>
      </c>
      <c r="I51" s="101">
        <v>76</v>
      </c>
      <c r="J51" s="62">
        <v>64.8</v>
      </c>
      <c r="K51" s="62">
        <v>64.8</v>
      </c>
      <c r="L51" s="62">
        <v>32.4</v>
      </c>
      <c r="M51" s="66">
        <v>21.6</v>
      </c>
    </row>
    <row r="52" spans="1:13" ht="29.15" customHeight="1" x14ac:dyDescent="0.3">
      <c r="A52" s="697"/>
      <c r="B52" s="684"/>
      <c r="C52" s="684"/>
      <c r="D52" s="688"/>
      <c r="E52" s="103" t="s">
        <v>200</v>
      </c>
      <c r="F52" s="101" t="s">
        <v>50</v>
      </c>
      <c r="G52" s="101" t="s">
        <v>50</v>
      </c>
      <c r="H52" s="101" t="s">
        <v>50</v>
      </c>
      <c r="I52" s="101" t="s">
        <v>50</v>
      </c>
      <c r="J52" s="62" t="s">
        <v>50</v>
      </c>
      <c r="K52" s="62">
        <v>12.9</v>
      </c>
      <c r="L52" s="62" t="s">
        <v>50</v>
      </c>
      <c r="M52" s="66" t="s">
        <v>50</v>
      </c>
    </row>
    <row r="53" spans="1:13" ht="29.15" customHeight="1" x14ac:dyDescent="0.3">
      <c r="A53" s="697"/>
      <c r="B53" s="684"/>
      <c r="C53" s="684"/>
      <c r="D53" s="688"/>
      <c r="E53" s="103" t="s">
        <v>201</v>
      </c>
      <c r="F53" s="101">
        <v>783</v>
      </c>
      <c r="G53" s="101">
        <v>977</v>
      </c>
      <c r="H53" s="101">
        <v>35</v>
      </c>
      <c r="I53" s="101">
        <v>3</v>
      </c>
      <c r="J53" s="62">
        <v>2.7</v>
      </c>
      <c r="K53" s="62" t="s">
        <v>50</v>
      </c>
      <c r="L53" s="62">
        <v>10.8</v>
      </c>
      <c r="M53" s="66" t="s">
        <v>50</v>
      </c>
    </row>
    <row r="54" spans="1:13" ht="29.15" customHeight="1" x14ac:dyDescent="0.3">
      <c r="A54" s="697"/>
      <c r="B54" s="684"/>
      <c r="C54" s="684"/>
      <c r="D54" s="688"/>
      <c r="E54" s="103" t="s">
        <v>202</v>
      </c>
      <c r="F54" s="101" t="s">
        <v>50</v>
      </c>
      <c r="G54" s="101" t="s">
        <v>50</v>
      </c>
      <c r="H54" s="101" t="s">
        <v>50</v>
      </c>
      <c r="I54" s="101" t="s">
        <v>50</v>
      </c>
      <c r="J54" s="62" t="s">
        <v>50</v>
      </c>
      <c r="K54" s="62" t="s">
        <v>50</v>
      </c>
      <c r="L54" s="62" t="s">
        <v>50</v>
      </c>
      <c r="M54" s="66" t="s">
        <v>50</v>
      </c>
    </row>
    <row r="55" spans="1:13" ht="29.15" customHeight="1" x14ac:dyDescent="0.3">
      <c r="A55" s="697"/>
      <c r="B55" s="685"/>
      <c r="C55" s="685"/>
      <c r="D55" s="688"/>
      <c r="E55" s="103" t="s">
        <v>203</v>
      </c>
      <c r="F55" s="101" t="s">
        <v>50</v>
      </c>
      <c r="G55" s="101" t="s">
        <v>50</v>
      </c>
      <c r="H55" s="101" t="s">
        <v>50</v>
      </c>
      <c r="I55" s="101" t="s">
        <v>50</v>
      </c>
      <c r="J55" s="62" t="s">
        <v>50</v>
      </c>
      <c r="K55" s="62" t="s">
        <v>50</v>
      </c>
      <c r="L55" s="62" t="s">
        <v>50</v>
      </c>
      <c r="M55" s="66" t="s">
        <v>50</v>
      </c>
    </row>
    <row r="56" spans="1:13" ht="29.15" customHeight="1" x14ac:dyDescent="0.3">
      <c r="A56" s="697"/>
      <c r="B56" s="683" t="s">
        <v>223</v>
      </c>
      <c r="C56" s="683" t="s">
        <v>188</v>
      </c>
      <c r="D56" s="688" t="s">
        <v>186</v>
      </c>
      <c r="E56" s="103" t="s">
        <v>192</v>
      </c>
      <c r="F56" s="101">
        <v>2283</v>
      </c>
      <c r="G56" s="101">
        <v>2802</v>
      </c>
      <c r="H56" s="101">
        <v>3240</v>
      </c>
      <c r="I56" s="101">
        <v>3825</v>
      </c>
      <c r="J56" s="62">
        <v>3885</v>
      </c>
      <c r="K56" s="62">
        <v>4167</v>
      </c>
      <c r="L56" s="62">
        <v>4773</v>
      </c>
      <c r="M56" s="66">
        <v>5295</v>
      </c>
    </row>
    <row r="57" spans="1:13" ht="29.15" customHeight="1" x14ac:dyDescent="0.3">
      <c r="A57" s="697"/>
      <c r="B57" s="684"/>
      <c r="C57" s="684"/>
      <c r="D57" s="688"/>
      <c r="E57" s="103" t="s">
        <v>193</v>
      </c>
      <c r="F57" s="101">
        <v>8930</v>
      </c>
      <c r="G57" s="101">
        <v>8276</v>
      </c>
      <c r="H57" s="101">
        <v>7262</v>
      </c>
      <c r="I57" s="101">
        <v>6038</v>
      </c>
      <c r="J57" s="62">
        <v>4909.6000000000004</v>
      </c>
      <c r="K57" s="62">
        <v>3640.4</v>
      </c>
      <c r="L57" s="62">
        <v>2432</v>
      </c>
      <c r="M57" s="66">
        <v>1341.4</v>
      </c>
    </row>
    <row r="58" spans="1:13" ht="29.15" customHeight="1" x14ac:dyDescent="0.3">
      <c r="A58" s="697"/>
      <c r="B58" s="684"/>
      <c r="C58" s="684"/>
      <c r="D58" s="688"/>
      <c r="E58" s="103" t="s">
        <v>194</v>
      </c>
      <c r="F58" s="101">
        <v>3348</v>
      </c>
      <c r="G58" s="101">
        <v>3330</v>
      </c>
      <c r="H58" s="101">
        <v>3290</v>
      </c>
      <c r="I58" s="101">
        <v>3011</v>
      </c>
      <c r="J58" s="62">
        <v>2529</v>
      </c>
      <c r="K58" s="62">
        <v>2389.5</v>
      </c>
      <c r="L58" s="62">
        <v>1849.5</v>
      </c>
      <c r="M58" s="66">
        <v>1494</v>
      </c>
    </row>
    <row r="59" spans="1:13" ht="29.15" customHeight="1" x14ac:dyDescent="0.3">
      <c r="A59" s="697"/>
      <c r="B59" s="684"/>
      <c r="C59" s="684"/>
      <c r="D59" s="688"/>
      <c r="E59" s="103" t="s">
        <v>195</v>
      </c>
      <c r="F59" s="101" t="s">
        <v>50</v>
      </c>
      <c r="G59" s="101" t="s">
        <v>50</v>
      </c>
      <c r="H59" s="101" t="s">
        <v>50</v>
      </c>
      <c r="I59" s="101" t="s">
        <v>50</v>
      </c>
      <c r="J59" s="62" t="s">
        <v>50</v>
      </c>
      <c r="K59" s="62" t="s">
        <v>50</v>
      </c>
      <c r="L59" s="62" t="s">
        <v>50</v>
      </c>
      <c r="M59" s="66" t="s">
        <v>50</v>
      </c>
    </row>
    <row r="60" spans="1:13" ht="29.15" customHeight="1" x14ac:dyDescent="0.3">
      <c r="A60" s="697"/>
      <c r="B60" s="684"/>
      <c r="C60" s="684"/>
      <c r="D60" s="688"/>
      <c r="E60" s="103" t="s">
        <v>196</v>
      </c>
      <c r="F60" s="101" t="s">
        <v>50</v>
      </c>
      <c r="G60" s="101" t="s">
        <v>50</v>
      </c>
      <c r="H60" s="101" t="s">
        <v>50</v>
      </c>
      <c r="I60" s="101" t="s">
        <v>50</v>
      </c>
      <c r="J60" s="62" t="s">
        <v>50</v>
      </c>
      <c r="K60" s="62" t="s">
        <v>50</v>
      </c>
      <c r="L60" s="62" t="s">
        <v>50</v>
      </c>
      <c r="M60" s="66" t="s">
        <v>50</v>
      </c>
    </row>
    <row r="61" spans="1:13" ht="29.15" customHeight="1" x14ac:dyDescent="0.3">
      <c r="A61" s="697"/>
      <c r="B61" s="684"/>
      <c r="C61" s="684"/>
      <c r="D61" s="688"/>
      <c r="E61" s="103" t="s">
        <v>197</v>
      </c>
      <c r="F61" s="101" t="s">
        <v>50</v>
      </c>
      <c r="G61" s="101" t="s">
        <v>50</v>
      </c>
      <c r="H61" s="101" t="s">
        <v>50</v>
      </c>
      <c r="I61" s="101">
        <v>131</v>
      </c>
      <c r="J61" s="62">
        <v>307.39999999999998</v>
      </c>
      <c r="K61" s="62">
        <v>478.5</v>
      </c>
      <c r="L61" s="62">
        <v>269.7</v>
      </c>
      <c r="M61" s="66">
        <v>252.3</v>
      </c>
    </row>
    <row r="62" spans="1:13" ht="29.15" customHeight="1" x14ac:dyDescent="0.3">
      <c r="A62" s="697"/>
      <c r="B62" s="684"/>
      <c r="C62" s="684"/>
      <c r="D62" s="688"/>
      <c r="E62" s="103" t="s">
        <v>198</v>
      </c>
      <c r="F62" s="101" t="s">
        <v>50</v>
      </c>
      <c r="G62" s="101" t="s">
        <v>50</v>
      </c>
      <c r="H62" s="101" t="s">
        <v>50</v>
      </c>
      <c r="I62" s="101" t="s">
        <v>50</v>
      </c>
      <c r="J62" s="62" t="s">
        <v>50</v>
      </c>
      <c r="K62" s="62" t="s">
        <v>50</v>
      </c>
      <c r="L62" s="62" t="s">
        <v>50</v>
      </c>
      <c r="M62" s="66" t="s">
        <v>50</v>
      </c>
    </row>
    <row r="63" spans="1:13" ht="29.15" customHeight="1" x14ac:dyDescent="0.3">
      <c r="A63" s="697"/>
      <c r="B63" s="684"/>
      <c r="C63" s="684"/>
      <c r="D63" s="688"/>
      <c r="E63" s="103" t="s">
        <v>199</v>
      </c>
      <c r="F63" s="101">
        <v>53</v>
      </c>
      <c r="G63" s="101">
        <v>53</v>
      </c>
      <c r="H63" s="101">
        <v>53</v>
      </c>
      <c r="I63" s="101" t="s">
        <v>50</v>
      </c>
      <c r="J63" s="62" t="s">
        <v>50</v>
      </c>
      <c r="K63" s="62" t="s">
        <v>50</v>
      </c>
      <c r="L63" s="62" t="s">
        <v>50</v>
      </c>
      <c r="M63" s="66" t="s">
        <v>50</v>
      </c>
    </row>
    <row r="64" spans="1:13" ht="29.15" customHeight="1" x14ac:dyDescent="0.3">
      <c r="A64" s="697"/>
      <c r="B64" s="684"/>
      <c r="C64" s="684"/>
      <c r="D64" s="688"/>
      <c r="E64" s="103" t="s">
        <v>200</v>
      </c>
      <c r="F64" s="101" t="s">
        <v>50</v>
      </c>
      <c r="G64" s="101" t="s">
        <v>50</v>
      </c>
      <c r="H64" s="101" t="s">
        <v>50</v>
      </c>
      <c r="I64" s="101" t="s">
        <v>50</v>
      </c>
      <c r="J64" s="62" t="s">
        <v>50</v>
      </c>
      <c r="K64" s="62" t="s">
        <v>50</v>
      </c>
      <c r="L64" s="62" t="s">
        <v>50</v>
      </c>
      <c r="M64" s="66" t="s">
        <v>50</v>
      </c>
    </row>
    <row r="65" spans="1:13" ht="29.15" customHeight="1" x14ac:dyDescent="0.3">
      <c r="A65" s="697"/>
      <c r="B65" s="684"/>
      <c r="C65" s="684"/>
      <c r="D65" s="688"/>
      <c r="E65" s="103" t="s">
        <v>201</v>
      </c>
      <c r="F65" s="101">
        <v>48</v>
      </c>
      <c r="G65" s="101" t="s">
        <v>50</v>
      </c>
      <c r="H65" s="101" t="s">
        <v>50</v>
      </c>
      <c r="I65" s="101">
        <v>14</v>
      </c>
      <c r="J65" s="62" t="s">
        <v>50</v>
      </c>
      <c r="K65" s="62" t="s">
        <v>50</v>
      </c>
      <c r="L65" s="62" t="s">
        <v>50</v>
      </c>
      <c r="M65" s="66" t="s">
        <v>50</v>
      </c>
    </row>
    <row r="66" spans="1:13" ht="29.15" customHeight="1" x14ac:dyDescent="0.3">
      <c r="A66" s="697"/>
      <c r="B66" s="684"/>
      <c r="C66" s="684"/>
      <c r="D66" s="688"/>
      <c r="E66" s="103" t="s">
        <v>202</v>
      </c>
      <c r="F66" s="101" t="s">
        <v>50</v>
      </c>
      <c r="G66" s="101" t="s">
        <v>50</v>
      </c>
      <c r="H66" s="101" t="s">
        <v>50</v>
      </c>
      <c r="I66" s="101" t="s">
        <v>50</v>
      </c>
      <c r="J66" s="62" t="s">
        <v>50</v>
      </c>
      <c r="K66" s="62" t="s">
        <v>50</v>
      </c>
      <c r="L66" s="62" t="s">
        <v>50</v>
      </c>
      <c r="M66" s="66" t="s">
        <v>50</v>
      </c>
    </row>
    <row r="67" spans="1:13" ht="29.15" customHeight="1" x14ac:dyDescent="0.3">
      <c r="A67" s="697"/>
      <c r="B67" s="685"/>
      <c r="C67" s="685"/>
      <c r="D67" s="688"/>
      <c r="E67" s="103" t="s">
        <v>203</v>
      </c>
      <c r="F67" s="101" t="s">
        <v>50</v>
      </c>
      <c r="G67" s="101" t="s">
        <v>50</v>
      </c>
      <c r="H67" s="101" t="s">
        <v>50</v>
      </c>
      <c r="I67" s="101" t="s">
        <v>50</v>
      </c>
      <c r="J67" s="62" t="s">
        <v>50</v>
      </c>
      <c r="K67" s="62" t="s">
        <v>50</v>
      </c>
      <c r="L67" s="62" t="s">
        <v>50</v>
      </c>
      <c r="M67" s="66" t="s">
        <v>50</v>
      </c>
    </row>
    <row r="68" spans="1:13" ht="29.15" customHeight="1" x14ac:dyDescent="0.3">
      <c r="A68" s="697"/>
      <c r="B68" s="683" t="s">
        <v>223</v>
      </c>
      <c r="C68" s="683" t="s">
        <v>222</v>
      </c>
      <c r="D68" s="688" t="s">
        <v>187</v>
      </c>
      <c r="E68" s="103" t="s">
        <v>192</v>
      </c>
      <c r="F68" s="101">
        <v>21536</v>
      </c>
      <c r="G68" s="101">
        <v>27788</v>
      </c>
      <c r="H68" s="101">
        <v>34828</v>
      </c>
      <c r="I68" s="101">
        <v>41912</v>
      </c>
      <c r="J68" s="62">
        <v>50844</v>
      </c>
      <c r="K68" s="62">
        <v>61084</v>
      </c>
      <c r="L68" s="62">
        <v>72656</v>
      </c>
      <c r="M68" s="66">
        <v>84612</v>
      </c>
    </row>
    <row r="69" spans="1:13" ht="29.15" customHeight="1" x14ac:dyDescent="0.3">
      <c r="A69" s="697"/>
      <c r="B69" s="684"/>
      <c r="C69" s="684"/>
      <c r="D69" s="688"/>
      <c r="E69" s="103" t="s">
        <v>193</v>
      </c>
      <c r="F69" s="101">
        <v>91520</v>
      </c>
      <c r="G69" s="101">
        <v>84155</v>
      </c>
      <c r="H69" s="101">
        <v>74660</v>
      </c>
      <c r="I69" s="101">
        <v>65580</v>
      </c>
      <c r="J69" s="62">
        <v>55550</v>
      </c>
      <c r="K69" s="62">
        <v>44045</v>
      </c>
      <c r="L69" s="83">
        <v>31075</v>
      </c>
      <c r="M69" s="85">
        <v>18515</v>
      </c>
    </row>
    <row r="70" spans="1:13" ht="29.15" customHeight="1" x14ac:dyDescent="0.3">
      <c r="A70" s="697"/>
      <c r="B70" s="684"/>
      <c r="C70" s="684"/>
      <c r="D70" s="688"/>
      <c r="E70" s="103" t="s">
        <v>194</v>
      </c>
      <c r="F70" s="101">
        <v>58866</v>
      </c>
      <c r="G70" s="101">
        <v>58356</v>
      </c>
      <c r="H70" s="101">
        <v>57504</v>
      </c>
      <c r="I70" s="101">
        <v>56874</v>
      </c>
      <c r="J70" s="62">
        <v>56280</v>
      </c>
      <c r="K70" s="62">
        <v>55272</v>
      </c>
      <c r="L70" s="83">
        <v>52962</v>
      </c>
      <c r="M70" s="85">
        <v>51786</v>
      </c>
    </row>
    <row r="71" spans="1:13" ht="29.15" customHeight="1" x14ac:dyDescent="0.3">
      <c r="A71" s="697"/>
      <c r="B71" s="684"/>
      <c r="C71" s="684"/>
      <c r="D71" s="688"/>
      <c r="E71" s="103" t="s">
        <v>195</v>
      </c>
      <c r="F71" s="101" t="s">
        <v>50</v>
      </c>
      <c r="G71" s="101" t="s">
        <v>50</v>
      </c>
      <c r="H71" s="101" t="s">
        <v>50</v>
      </c>
      <c r="I71" s="101" t="s">
        <v>50</v>
      </c>
      <c r="J71" s="62" t="s">
        <v>50</v>
      </c>
      <c r="K71" s="62" t="s">
        <v>50</v>
      </c>
      <c r="L71" s="83" t="s">
        <v>50</v>
      </c>
      <c r="M71" s="85" t="s">
        <v>50</v>
      </c>
    </row>
    <row r="72" spans="1:13" ht="29.15" customHeight="1" x14ac:dyDescent="0.3">
      <c r="A72" s="697"/>
      <c r="B72" s="684"/>
      <c r="C72" s="684"/>
      <c r="D72" s="688"/>
      <c r="E72" s="103" t="s">
        <v>196</v>
      </c>
      <c r="F72" s="101" t="s">
        <v>50</v>
      </c>
      <c r="G72" s="101" t="s">
        <v>50</v>
      </c>
      <c r="H72" s="101" t="s">
        <v>50</v>
      </c>
      <c r="I72" s="101" t="s">
        <v>50</v>
      </c>
      <c r="J72" s="62" t="s">
        <v>50</v>
      </c>
      <c r="K72" s="62" t="s">
        <v>50</v>
      </c>
      <c r="L72" s="83" t="s">
        <v>50</v>
      </c>
      <c r="M72" s="85" t="s">
        <v>50</v>
      </c>
    </row>
    <row r="73" spans="1:13" ht="29.15" customHeight="1" x14ac:dyDescent="0.3">
      <c r="A73" s="697"/>
      <c r="B73" s="684"/>
      <c r="C73" s="684"/>
      <c r="D73" s="688"/>
      <c r="E73" s="103" t="s">
        <v>197</v>
      </c>
      <c r="F73" s="101" t="s">
        <v>50</v>
      </c>
      <c r="G73" s="101" t="s">
        <v>50</v>
      </c>
      <c r="H73" s="101" t="s">
        <v>50</v>
      </c>
      <c r="I73" s="101">
        <v>1520</v>
      </c>
      <c r="J73" s="62">
        <v>1858.2</v>
      </c>
      <c r="K73" s="62">
        <v>2884.2</v>
      </c>
      <c r="L73" s="83">
        <v>3169.2</v>
      </c>
      <c r="M73" s="85">
        <v>3070.4</v>
      </c>
    </row>
    <row r="74" spans="1:13" ht="29.15" customHeight="1" x14ac:dyDescent="0.3">
      <c r="A74" s="697"/>
      <c r="B74" s="684"/>
      <c r="C74" s="684"/>
      <c r="D74" s="688"/>
      <c r="E74" s="103" t="s">
        <v>198</v>
      </c>
      <c r="F74" s="101">
        <v>140</v>
      </c>
      <c r="G74" s="101">
        <v>152</v>
      </c>
      <c r="H74" s="101">
        <v>168</v>
      </c>
      <c r="I74" s="101">
        <v>180</v>
      </c>
      <c r="J74" s="62">
        <v>196</v>
      </c>
      <c r="K74" s="62">
        <v>208</v>
      </c>
      <c r="L74" s="62">
        <v>208</v>
      </c>
      <c r="M74" s="66">
        <v>224</v>
      </c>
    </row>
    <row r="75" spans="1:13" ht="29.15" customHeight="1" x14ac:dyDescent="0.3">
      <c r="A75" s="697"/>
      <c r="B75" s="684"/>
      <c r="C75" s="684"/>
      <c r="D75" s="688"/>
      <c r="E75" s="103" t="s">
        <v>199</v>
      </c>
      <c r="F75" s="101">
        <v>70</v>
      </c>
      <c r="G75" s="101">
        <v>45</v>
      </c>
      <c r="H75" s="101">
        <v>60</v>
      </c>
      <c r="I75" s="101">
        <v>60</v>
      </c>
      <c r="J75" s="62">
        <v>45</v>
      </c>
      <c r="K75" s="62">
        <v>45</v>
      </c>
      <c r="L75" s="62">
        <v>30</v>
      </c>
      <c r="M75" s="66">
        <v>20</v>
      </c>
    </row>
    <row r="76" spans="1:13" ht="29.15" customHeight="1" x14ac:dyDescent="0.3">
      <c r="A76" s="697"/>
      <c r="B76" s="684"/>
      <c r="C76" s="684"/>
      <c r="D76" s="688"/>
      <c r="E76" s="103" t="s">
        <v>200</v>
      </c>
      <c r="F76" s="101" t="s">
        <v>50</v>
      </c>
      <c r="G76" s="101" t="s">
        <v>50</v>
      </c>
      <c r="H76" s="101" t="s">
        <v>50</v>
      </c>
      <c r="I76" s="101" t="s">
        <v>50</v>
      </c>
      <c r="J76" s="62" t="s">
        <v>50</v>
      </c>
      <c r="K76" s="62" t="s">
        <v>50</v>
      </c>
      <c r="L76" s="62" t="s">
        <v>50</v>
      </c>
      <c r="M76" s="66" t="s">
        <v>50</v>
      </c>
    </row>
    <row r="77" spans="1:13" ht="29.15" customHeight="1" x14ac:dyDescent="0.3">
      <c r="A77" s="697"/>
      <c r="B77" s="684"/>
      <c r="C77" s="684"/>
      <c r="D77" s="688"/>
      <c r="E77" s="103" t="s">
        <v>201</v>
      </c>
      <c r="F77" s="101">
        <v>9</v>
      </c>
      <c r="G77" s="101">
        <v>5</v>
      </c>
      <c r="H77" s="101">
        <v>1</v>
      </c>
      <c r="I77" s="101" t="s">
        <v>50</v>
      </c>
      <c r="J77" s="62">
        <v>3.9</v>
      </c>
      <c r="K77" s="62">
        <v>1.3</v>
      </c>
      <c r="L77" s="62">
        <v>3.9</v>
      </c>
      <c r="M77" s="66">
        <v>2.6</v>
      </c>
    </row>
    <row r="78" spans="1:13" ht="29.15" customHeight="1" x14ac:dyDescent="0.3">
      <c r="A78" s="697"/>
      <c r="B78" s="684"/>
      <c r="C78" s="684"/>
      <c r="D78" s="688"/>
      <c r="E78" s="103" t="s">
        <v>202</v>
      </c>
      <c r="F78" s="101" t="s">
        <v>50</v>
      </c>
      <c r="G78" s="101" t="s">
        <v>50</v>
      </c>
      <c r="H78" s="101" t="s">
        <v>50</v>
      </c>
      <c r="I78" s="101" t="s">
        <v>50</v>
      </c>
      <c r="J78" s="62" t="s">
        <v>50</v>
      </c>
      <c r="K78" s="62" t="s">
        <v>50</v>
      </c>
      <c r="L78" s="62" t="s">
        <v>50</v>
      </c>
      <c r="M78" s="66" t="s">
        <v>50</v>
      </c>
    </row>
    <row r="79" spans="1:13" ht="29.15" customHeight="1" thickBot="1" x14ac:dyDescent="0.35">
      <c r="A79" s="697"/>
      <c r="B79" s="686"/>
      <c r="C79" s="686"/>
      <c r="D79" s="703"/>
      <c r="E79" s="104" t="s">
        <v>203</v>
      </c>
      <c r="F79" s="586" t="s">
        <v>50</v>
      </c>
      <c r="G79" s="196" t="s">
        <v>50</v>
      </c>
      <c r="H79" s="196" t="s">
        <v>50</v>
      </c>
      <c r="I79" s="196" t="s">
        <v>50</v>
      </c>
      <c r="J79" s="71" t="s">
        <v>50</v>
      </c>
      <c r="K79" s="71" t="s">
        <v>50</v>
      </c>
      <c r="L79" s="71" t="s">
        <v>50</v>
      </c>
      <c r="M79" s="72" t="s">
        <v>50</v>
      </c>
    </row>
    <row r="80" spans="1:13" ht="29.15" customHeight="1" thickTop="1" x14ac:dyDescent="0.3">
      <c r="A80" s="698"/>
      <c r="B80" s="699" t="s">
        <v>62</v>
      </c>
      <c r="C80" s="699"/>
      <c r="D80" s="699"/>
      <c r="E80" s="723"/>
      <c r="F80" s="510">
        <f>SUM(F19:F79)</f>
        <v>1554232</v>
      </c>
      <c r="G80" s="510">
        <v>1518880</v>
      </c>
      <c r="H80" s="510">
        <f>SUM(H19:H79)</f>
        <v>1475049</v>
      </c>
      <c r="I80" s="510">
        <f>SUM(I19:I79)</f>
        <v>1410371</v>
      </c>
      <c r="J80" s="510">
        <f t="shared" ref="J80:M80" si="1">SUM(J19:J79)</f>
        <v>1356816</v>
      </c>
      <c r="K80" s="510">
        <f t="shared" si="1"/>
        <v>1308960.5</v>
      </c>
      <c r="L80" s="510">
        <f t="shared" si="1"/>
        <v>1255608.2999999998</v>
      </c>
      <c r="M80" s="511">
        <f t="shared" si="1"/>
        <v>1196763.8</v>
      </c>
    </row>
    <row r="81" spans="1:13" ht="29.15" customHeight="1" x14ac:dyDescent="0.3">
      <c r="A81" s="696" t="s">
        <v>189</v>
      </c>
      <c r="B81" s="700" t="s">
        <v>208</v>
      </c>
      <c r="C81" s="700"/>
      <c r="D81" s="700"/>
      <c r="E81" s="724"/>
      <c r="F81" s="107">
        <v>7546</v>
      </c>
      <c r="G81" s="107">
        <v>7558</v>
      </c>
      <c r="H81" s="107">
        <v>7690</v>
      </c>
      <c r="I81" s="107">
        <v>7757</v>
      </c>
      <c r="J81" s="63">
        <v>7831.2</v>
      </c>
      <c r="K81" s="63">
        <v>7956</v>
      </c>
      <c r="L81" s="63">
        <v>8114.4</v>
      </c>
      <c r="M81" s="77">
        <v>8248.7999999999993</v>
      </c>
    </row>
    <row r="82" spans="1:13" ht="29.15" customHeight="1" x14ac:dyDescent="0.3">
      <c r="A82" s="697"/>
      <c r="B82" s="701" t="s">
        <v>61</v>
      </c>
      <c r="C82" s="701"/>
      <c r="D82" s="701"/>
      <c r="E82" s="105" t="s">
        <v>190</v>
      </c>
      <c r="F82" s="101">
        <v>6118</v>
      </c>
      <c r="G82" s="101">
        <v>6059</v>
      </c>
      <c r="H82" s="101">
        <v>6065</v>
      </c>
      <c r="I82" s="101">
        <v>6095</v>
      </c>
      <c r="J82" s="62">
        <v>6112.4</v>
      </c>
      <c r="K82" s="62">
        <v>6047.5</v>
      </c>
      <c r="L82" s="62">
        <v>6171.4</v>
      </c>
      <c r="M82" s="66">
        <v>5935.4</v>
      </c>
    </row>
    <row r="83" spans="1:13" ht="29.15" customHeight="1" thickBot="1" x14ac:dyDescent="0.35">
      <c r="A83" s="697"/>
      <c r="B83" s="702"/>
      <c r="C83" s="702"/>
      <c r="D83" s="702"/>
      <c r="E83" s="106" t="s">
        <v>191</v>
      </c>
      <c r="F83" s="586">
        <v>5009</v>
      </c>
      <c r="G83" s="196">
        <v>4814</v>
      </c>
      <c r="H83" s="196">
        <v>4803</v>
      </c>
      <c r="I83" s="196">
        <v>4714</v>
      </c>
      <c r="J83" s="71">
        <v>4631.5</v>
      </c>
      <c r="K83" s="71">
        <v>4253.8999999999996</v>
      </c>
      <c r="L83" s="71">
        <v>4295.2</v>
      </c>
      <c r="M83" s="72">
        <v>4135.8999999999996</v>
      </c>
    </row>
    <row r="84" spans="1:13" ht="29.15" customHeight="1" thickTop="1" x14ac:dyDescent="0.3">
      <c r="A84" s="698"/>
      <c r="B84" s="699" t="s">
        <v>62</v>
      </c>
      <c r="C84" s="699"/>
      <c r="D84" s="699"/>
      <c r="E84" s="723"/>
      <c r="F84" s="510">
        <f>SUM(F81:F83)</f>
        <v>18673</v>
      </c>
      <c r="G84" s="510">
        <v>18431</v>
      </c>
      <c r="H84" s="510">
        <f>SUM(H81:H83)</f>
        <v>18558</v>
      </c>
      <c r="I84" s="510">
        <f>SUM(I81:I83)</f>
        <v>18566</v>
      </c>
      <c r="J84" s="510">
        <f t="shared" ref="J84:M84" si="2">SUM(J81:J83)</f>
        <v>18575.099999999999</v>
      </c>
      <c r="K84" s="510">
        <f t="shared" si="2"/>
        <v>18257.400000000001</v>
      </c>
      <c r="L84" s="510">
        <f t="shared" si="2"/>
        <v>18581</v>
      </c>
      <c r="M84" s="511">
        <f t="shared" si="2"/>
        <v>18320.099999999999</v>
      </c>
    </row>
    <row r="85" spans="1:13" ht="29.15" customHeight="1" thickBot="1" x14ac:dyDescent="0.35">
      <c r="A85" s="692" t="s">
        <v>205</v>
      </c>
      <c r="B85" s="693"/>
      <c r="C85" s="693"/>
      <c r="D85" s="693"/>
      <c r="E85" s="719"/>
      <c r="F85" s="587">
        <v>108954</v>
      </c>
      <c r="G85" s="534">
        <v>108264</v>
      </c>
      <c r="H85" s="534">
        <v>105318</v>
      </c>
      <c r="I85" s="534">
        <v>101772</v>
      </c>
      <c r="J85" s="75">
        <v>98838</v>
      </c>
      <c r="K85" s="75">
        <v>98526</v>
      </c>
      <c r="L85" s="75">
        <v>98664</v>
      </c>
      <c r="M85" s="76">
        <v>100164</v>
      </c>
    </row>
    <row r="86" spans="1:13" ht="29.15" customHeight="1" thickTop="1" x14ac:dyDescent="0.3">
      <c r="A86" s="720" t="s">
        <v>206</v>
      </c>
      <c r="B86" s="721"/>
      <c r="C86" s="721"/>
      <c r="D86" s="721"/>
      <c r="E86" s="722"/>
      <c r="F86" s="109">
        <f>F18+F80+F84+F85</f>
        <v>1926304</v>
      </c>
      <c r="G86" s="109">
        <v>1894931</v>
      </c>
      <c r="H86" s="109">
        <f>H18+H80+H84+H85</f>
        <v>1854769</v>
      </c>
      <c r="I86" s="109">
        <f t="shared" ref="I86:M86" si="3">I18+I80+I84+I85</f>
        <v>1789749</v>
      </c>
      <c r="J86" s="109">
        <f t="shared" si="3"/>
        <v>1738403.6</v>
      </c>
      <c r="K86" s="109">
        <f t="shared" si="3"/>
        <v>1697013.5</v>
      </c>
      <c r="L86" s="109">
        <f t="shared" si="3"/>
        <v>1651232.9</v>
      </c>
      <c r="M86" s="511">
        <f t="shared" si="3"/>
        <v>1601836.4000000001</v>
      </c>
    </row>
  </sheetData>
  <customSheetViews>
    <customSheetView guid="{501209ED-4B79-4E52-B95E-748E5E77E24F}">
      <pane xSplit="5" ySplit="8" topLeftCell="F10" activePane="bottomRight" state="frozen"/>
      <selection pane="bottomRight" activeCell="F10" sqref="F10"/>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44">
    <mergeCell ref="C28:E28"/>
    <mergeCell ref="C29:E29"/>
    <mergeCell ref="A10:A18"/>
    <mergeCell ref="B10:E10"/>
    <mergeCell ref="B11:E11"/>
    <mergeCell ref="B12:E12"/>
    <mergeCell ref="B13:E13"/>
    <mergeCell ref="B14:E14"/>
    <mergeCell ref="B17:E17"/>
    <mergeCell ref="B18:E18"/>
    <mergeCell ref="B15:E15"/>
    <mergeCell ref="B16:E16"/>
    <mergeCell ref="C30:E30"/>
    <mergeCell ref="C31:E31"/>
    <mergeCell ref="B44:B55"/>
    <mergeCell ref="C44:C55"/>
    <mergeCell ref="D44:D55"/>
    <mergeCell ref="B32:B43"/>
    <mergeCell ref="C32:C43"/>
    <mergeCell ref="D32:D43"/>
    <mergeCell ref="B20:B31"/>
    <mergeCell ref="C20:E20"/>
    <mergeCell ref="C21:E21"/>
    <mergeCell ref="C22:E22"/>
    <mergeCell ref="C23:E23"/>
    <mergeCell ref="C24:E24"/>
    <mergeCell ref="C25:E25"/>
    <mergeCell ref="C26:E26"/>
    <mergeCell ref="B56:B67"/>
    <mergeCell ref="C56:C67"/>
    <mergeCell ref="D56:D67"/>
    <mergeCell ref="A85:E85"/>
    <mergeCell ref="A86:E86"/>
    <mergeCell ref="B68:B79"/>
    <mergeCell ref="C68:C79"/>
    <mergeCell ref="D68:D79"/>
    <mergeCell ref="B80:E80"/>
    <mergeCell ref="A81:A84"/>
    <mergeCell ref="B81:E81"/>
    <mergeCell ref="B82:D83"/>
    <mergeCell ref="B84:E84"/>
    <mergeCell ref="A19:A80"/>
    <mergeCell ref="B19:E19"/>
    <mergeCell ref="C27:E27"/>
  </mergeCells>
  <phoneticPr fontId="1"/>
  <conditionalFormatting sqref="G10:G14 G17:G86">
    <cfRule type="containsBlanks" dxfId="34" priority="16">
      <formula>LEN(TRIM(G10))=0</formula>
    </cfRule>
  </conditionalFormatting>
  <conditionalFormatting sqref="F23:F31 F38:F40 F42:F43 F59:F62 F78:F79">
    <cfRule type="containsBlanks" dxfId="33" priority="15">
      <formula>LEN(TRIM(F23))=0</formula>
    </cfRule>
  </conditionalFormatting>
  <conditionalFormatting sqref="G15:G16">
    <cfRule type="containsBlanks" dxfId="32" priority="14">
      <formula>LEN(TRIM(G15))=0</formula>
    </cfRule>
  </conditionalFormatting>
  <conditionalFormatting sqref="F10:F17">
    <cfRule type="containsBlanks" dxfId="31" priority="12">
      <formula>LEN(TRIM(F10))=0</formula>
    </cfRule>
  </conditionalFormatting>
  <conditionalFormatting sqref="F19:F22">
    <cfRule type="containsBlanks" dxfId="30" priority="11">
      <formula>LEN(TRIM(F19))=0</formula>
    </cfRule>
  </conditionalFormatting>
  <conditionalFormatting sqref="F32:F37">
    <cfRule type="containsBlanks" dxfId="29" priority="10">
      <formula>LEN(TRIM(F32))=0</formula>
    </cfRule>
  </conditionalFormatting>
  <conditionalFormatting sqref="F41">
    <cfRule type="containsBlanks" dxfId="28" priority="9">
      <formula>LEN(TRIM(F41))=0</formula>
    </cfRule>
  </conditionalFormatting>
  <conditionalFormatting sqref="F44:F50">
    <cfRule type="containsBlanks" dxfId="27" priority="8">
      <formula>LEN(TRIM(F44))=0</formula>
    </cfRule>
  </conditionalFormatting>
  <conditionalFormatting sqref="F51:F55">
    <cfRule type="containsBlanks" dxfId="26" priority="7">
      <formula>LEN(TRIM(F51))=0</formula>
    </cfRule>
  </conditionalFormatting>
  <conditionalFormatting sqref="F56:F58">
    <cfRule type="containsBlanks" dxfId="25" priority="6">
      <formula>LEN(TRIM(F56))=0</formula>
    </cfRule>
  </conditionalFormatting>
  <conditionalFormatting sqref="F63:F67">
    <cfRule type="containsBlanks" dxfId="24" priority="5">
      <formula>LEN(TRIM(F63))=0</formula>
    </cfRule>
  </conditionalFormatting>
  <conditionalFormatting sqref="F68:F70">
    <cfRule type="containsBlanks" dxfId="23" priority="4">
      <formula>LEN(TRIM(F68))=0</formula>
    </cfRule>
  </conditionalFormatting>
  <conditionalFormatting sqref="F71:F77">
    <cfRule type="containsBlanks" dxfId="22" priority="3">
      <formula>LEN(TRIM(F71))=0</formula>
    </cfRule>
  </conditionalFormatting>
  <conditionalFormatting sqref="F81:F83">
    <cfRule type="containsBlanks" dxfId="21" priority="2">
      <formula>LEN(TRIM(F81))=0</formula>
    </cfRule>
  </conditionalFormatting>
  <conditionalFormatting sqref="F85">
    <cfRule type="containsBlanks" dxfId="20" priority="1">
      <formula>LEN(TRIM(F85))=0</formula>
    </cfRule>
  </conditionalFormatting>
  <hyperlinks>
    <hyperlink ref="A1:D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zoomScale="85" zoomScaleNormal="85" workbookViewId="0">
      <pane xSplit="2" ySplit="6" topLeftCell="C7" activePane="bottomRight" state="frozen"/>
      <selection pane="topRight" activeCell="C1" sqref="C1"/>
      <selection pane="bottomLeft" activeCell="A7" sqref="A7"/>
      <selection pane="bottomRight" activeCell="B1" sqref="B1"/>
    </sheetView>
  </sheetViews>
  <sheetFormatPr defaultColWidth="8.58203125" defaultRowHeight="14.5" x14ac:dyDescent="0.35"/>
  <cols>
    <col min="1" max="1" width="3.08203125" style="1" bestFit="1" customWidth="1"/>
    <col min="2" max="2" width="16.08203125" style="4" bestFit="1" customWidth="1"/>
    <col min="3" max="3" width="5.58203125" style="1" customWidth="1"/>
    <col min="4" max="4" width="4.08203125" style="1" customWidth="1"/>
    <col min="5" max="5" width="11.58203125" style="2" customWidth="1"/>
    <col min="6" max="6" width="5.58203125" style="1" customWidth="1"/>
    <col min="7" max="7" width="4.08203125" style="1" customWidth="1"/>
    <col min="8" max="8" width="11.58203125" style="2" customWidth="1"/>
    <col min="9" max="9" width="5.58203125" style="1" customWidth="1"/>
    <col min="10" max="10" width="4.08203125" style="1" customWidth="1"/>
    <col min="11" max="11" width="11.58203125" style="2" customWidth="1"/>
    <col min="12" max="12" width="5.58203125" style="2" customWidth="1"/>
    <col min="13" max="13" width="4.08203125" style="1" customWidth="1"/>
    <col min="14" max="14" width="11.58203125" style="1" customWidth="1"/>
    <col min="15" max="15" width="5.58203125" style="1" customWidth="1"/>
    <col min="16" max="16" width="4.08203125" style="1" customWidth="1"/>
    <col min="17" max="17" width="11.58203125" style="1" customWidth="1"/>
    <col min="18" max="18" width="5.58203125" style="1" customWidth="1"/>
    <col min="19" max="19" width="4.08203125" style="1" customWidth="1"/>
    <col min="20" max="20" width="11.58203125" style="1" customWidth="1"/>
    <col min="21" max="21" width="5.58203125" style="1" customWidth="1"/>
    <col min="22" max="22" width="4.08203125" style="1" customWidth="1"/>
    <col min="23" max="23" width="11.58203125" style="1" customWidth="1"/>
    <col min="24" max="24" width="5.58203125" style="1" customWidth="1"/>
    <col min="25" max="25" width="4.08203125" style="1" customWidth="1"/>
    <col min="26" max="29" width="10.83203125" style="1" bestFit="1" customWidth="1"/>
    <col min="30" max="31" width="10.33203125" style="1" bestFit="1" customWidth="1"/>
    <col min="32" max="16384" width="8.58203125" style="1"/>
  </cols>
  <sheetData>
    <row r="1" spans="1:33" x14ac:dyDescent="0.3">
      <c r="A1" s="432" t="s">
        <v>438</v>
      </c>
      <c r="B1" s="432"/>
    </row>
    <row r="3" spans="1:33" s="253" customFormat="1" ht="20.149999999999999" customHeight="1" x14ac:dyDescent="0.55000000000000004">
      <c r="A3" s="252" t="s">
        <v>230</v>
      </c>
    </row>
    <row r="4" spans="1:33" s="253" customFormat="1" ht="20.149999999999999" customHeight="1" x14ac:dyDescent="0.55000000000000004">
      <c r="A4" s="252" t="s">
        <v>231</v>
      </c>
    </row>
    <row r="5" spans="1:33" s="253" customFormat="1" ht="14.5" customHeight="1" x14ac:dyDescent="0.55000000000000004">
      <c r="B5" s="30"/>
    </row>
    <row r="6" spans="1:33" s="22" customFormat="1" ht="14.5" customHeight="1" x14ac:dyDescent="0.55000000000000004">
      <c r="A6" s="22" t="s">
        <v>32</v>
      </c>
    </row>
    <row r="7" spans="1:33" s="21" customFormat="1" ht="20.149999999999999" customHeight="1" x14ac:dyDescent="0.55000000000000004">
      <c r="B7" s="327"/>
      <c r="C7" s="673" t="s">
        <v>1113</v>
      </c>
      <c r="D7" s="731"/>
      <c r="E7" s="674"/>
      <c r="F7" s="673" t="s">
        <v>1080</v>
      </c>
      <c r="G7" s="731"/>
      <c r="H7" s="674"/>
      <c r="I7" s="673" t="s">
        <v>314</v>
      </c>
      <c r="J7" s="731"/>
      <c r="K7" s="674"/>
      <c r="L7" s="673" t="s">
        <v>1086</v>
      </c>
      <c r="M7" s="731"/>
      <c r="N7" s="674"/>
      <c r="O7" s="673" t="s">
        <v>127</v>
      </c>
      <c r="P7" s="731"/>
      <c r="Q7" s="674"/>
      <c r="R7" s="673" t="s">
        <v>40</v>
      </c>
      <c r="S7" s="731"/>
      <c r="T7" s="674"/>
      <c r="U7" s="673" t="s">
        <v>3</v>
      </c>
      <c r="V7" s="731"/>
      <c r="W7" s="674"/>
      <c r="X7" s="673" t="s">
        <v>271</v>
      </c>
      <c r="Y7" s="731"/>
      <c r="Z7" s="674"/>
      <c r="AA7" s="45"/>
      <c r="AB7" s="45"/>
      <c r="AC7" s="45"/>
      <c r="AD7" s="45"/>
      <c r="AE7" s="45"/>
      <c r="AF7" s="45"/>
      <c r="AG7" s="45"/>
    </row>
    <row r="8" spans="1:33" s="255" customFormat="1" ht="20.149999999999999" customHeight="1" x14ac:dyDescent="0.55000000000000004">
      <c r="B8" s="328" t="s">
        <v>236</v>
      </c>
      <c r="C8" s="126"/>
      <c r="D8" s="127"/>
      <c r="E8" s="115">
        <v>1543369</v>
      </c>
      <c r="F8" s="126"/>
      <c r="G8" s="127"/>
      <c r="H8" s="115">
        <v>1534916</v>
      </c>
      <c r="I8" s="126"/>
      <c r="J8" s="127"/>
      <c r="K8" s="115">
        <v>1502509</v>
      </c>
      <c r="L8" s="126"/>
      <c r="M8" s="127"/>
      <c r="N8" s="115">
        <v>1520141</v>
      </c>
      <c r="O8" s="126"/>
      <c r="P8" s="127"/>
      <c r="Q8" s="115">
        <v>1633203</v>
      </c>
      <c r="R8" s="126"/>
      <c r="S8" s="127"/>
      <c r="T8" s="115">
        <v>1708288</v>
      </c>
      <c r="U8" s="116"/>
      <c r="V8" s="111"/>
      <c r="W8" s="115">
        <v>1818447</v>
      </c>
      <c r="X8" s="116"/>
      <c r="Y8" s="111"/>
      <c r="Z8" s="115">
        <v>1937695</v>
      </c>
      <c r="AA8" s="40"/>
      <c r="AB8" s="40"/>
      <c r="AC8" s="40"/>
      <c r="AD8" s="40"/>
      <c r="AE8" s="40"/>
      <c r="AF8" s="40"/>
      <c r="AG8" s="40"/>
    </row>
    <row r="9" spans="1:33" s="255" customFormat="1" ht="20.149999999999999" customHeight="1" x14ac:dyDescent="0.55000000000000004">
      <c r="B9" s="395" t="s">
        <v>237</v>
      </c>
      <c r="C9" s="396"/>
      <c r="D9" s="397"/>
      <c r="E9" s="128">
        <f>E8/H8*100-100</f>
        <v>0.55071417588976601</v>
      </c>
      <c r="F9" s="396"/>
      <c r="G9" s="397"/>
      <c r="H9" s="128">
        <f>H8/K8*100-100</f>
        <v>2.156858960578603</v>
      </c>
      <c r="I9" s="396"/>
      <c r="J9" s="397"/>
      <c r="K9" s="128">
        <f>K8/N8*100-100</f>
        <v>-1.1598924047177235</v>
      </c>
      <c r="L9" s="396"/>
      <c r="M9" s="397"/>
      <c r="N9" s="128">
        <f>N8/Q8*100-100</f>
        <v>-6.9227156697605778</v>
      </c>
      <c r="O9" s="396"/>
      <c r="P9" s="397"/>
      <c r="Q9" s="128">
        <v>-4.3953361494080498</v>
      </c>
      <c r="R9" s="396"/>
      <c r="S9" s="397"/>
      <c r="T9" s="128">
        <v>-6.0578614609059258</v>
      </c>
      <c r="U9" s="129"/>
      <c r="V9" s="130"/>
      <c r="W9" s="128">
        <v>-6.1541161018632948</v>
      </c>
      <c r="X9" s="129"/>
      <c r="Y9" s="130"/>
      <c r="Z9" s="128">
        <v>-3.12929625204346</v>
      </c>
      <c r="AA9" s="40"/>
      <c r="AB9" s="40"/>
      <c r="AC9" s="40"/>
      <c r="AD9" s="40"/>
      <c r="AE9" s="40"/>
      <c r="AF9" s="40"/>
      <c r="AG9" s="40"/>
    </row>
    <row r="10" spans="1:33" s="255" customFormat="1" ht="20.149999999999999" customHeight="1" x14ac:dyDescent="0.55000000000000004">
      <c r="B10" s="744" t="s">
        <v>238</v>
      </c>
      <c r="C10" s="113"/>
      <c r="D10" s="112"/>
      <c r="E10" s="114"/>
      <c r="F10" s="113"/>
      <c r="G10" s="112"/>
      <c r="H10" s="114"/>
      <c r="I10" s="113"/>
      <c r="J10" s="112"/>
      <c r="K10" s="114"/>
      <c r="L10" s="113"/>
      <c r="M10" s="112"/>
      <c r="N10" s="114"/>
      <c r="O10" s="113"/>
      <c r="P10" s="112"/>
      <c r="Q10" s="114"/>
      <c r="R10" s="113"/>
      <c r="S10" s="112"/>
      <c r="T10" s="114"/>
      <c r="U10" s="113"/>
      <c r="V10" s="112"/>
      <c r="W10" s="114"/>
      <c r="X10" s="113"/>
      <c r="Y10" s="112"/>
      <c r="Z10" s="114"/>
      <c r="AA10" s="40"/>
      <c r="AB10" s="40"/>
      <c r="AC10" s="40"/>
      <c r="AD10" s="40"/>
      <c r="AE10" s="40"/>
      <c r="AF10" s="40"/>
      <c r="AG10" s="40"/>
    </row>
    <row r="11" spans="1:33" s="255" customFormat="1" ht="20.149999999999999" customHeight="1" x14ac:dyDescent="0.55000000000000004">
      <c r="B11" s="745"/>
      <c r="C11" s="728" t="s">
        <v>266</v>
      </c>
      <c r="D11" s="729"/>
      <c r="E11" s="730"/>
      <c r="F11" s="728" t="s">
        <v>266</v>
      </c>
      <c r="G11" s="729"/>
      <c r="H11" s="730"/>
      <c r="I11" s="728" t="s">
        <v>232</v>
      </c>
      <c r="J11" s="729"/>
      <c r="K11" s="730"/>
      <c r="L11" s="728" t="s">
        <v>232</v>
      </c>
      <c r="M11" s="729"/>
      <c r="N11" s="730"/>
      <c r="O11" s="732" t="s">
        <v>232</v>
      </c>
      <c r="P11" s="733"/>
      <c r="Q11" s="734"/>
      <c r="R11" s="732" t="s">
        <v>260</v>
      </c>
      <c r="S11" s="733"/>
      <c r="T11" s="734"/>
      <c r="U11" s="732" t="s">
        <v>260</v>
      </c>
      <c r="V11" s="733"/>
      <c r="W11" s="734"/>
      <c r="X11" s="732" t="s">
        <v>266</v>
      </c>
      <c r="Y11" s="733"/>
      <c r="Z11" s="734"/>
    </row>
    <row r="12" spans="1:33" s="255" customFormat="1" ht="20.149999999999999" customHeight="1" x14ac:dyDescent="0.55000000000000004">
      <c r="B12" s="745"/>
      <c r="C12" s="732" t="s">
        <v>1093</v>
      </c>
      <c r="D12" s="733"/>
      <c r="E12" s="734"/>
      <c r="F12" s="732" t="s">
        <v>1093</v>
      </c>
      <c r="G12" s="733"/>
      <c r="H12" s="734"/>
      <c r="I12" s="732" t="s">
        <v>1093</v>
      </c>
      <c r="J12" s="733"/>
      <c r="K12" s="734"/>
      <c r="L12" s="732" t="s">
        <v>233</v>
      </c>
      <c r="M12" s="733"/>
      <c r="N12" s="734"/>
      <c r="O12" s="735" t="s">
        <v>255</v>
      </c>
      <c r="P12" s="736"/>
      <c r="Q12" s="737"/>
      <c r="R12" s="735" t="s">
        <v>261</v>
      </c>
      <c r="S12" s="736"/>
      <c r="T12" s="737"/>
      <c r="U12" s="728" t="s">
        <v>272</v>
      </c>
      <c r="V12" s="729"/>
      <c r="W12" s="730"/>
      <c r="X12" s="728" t="s">
        <v>267</v>
      </c>
      <c r="Y12" s="729"/>
      <c r="Z12" s="730"/>
    </row>
    <row r="13" spans="1:33" s="255" customFormat="1" ht="20.149999999999999" customHeight="1" x14ac:dyDescent="0.55000000000000004">
      <c r="B13" s="745"/>
      <c r="C13" s="735" t="s">
        <v>1094</v>
      </c>
      <c r="D13" s="736"/>
      <c r="E13" s="737"/>
      <c r="F13" s="735" t="s">
        <v>1094</v>
      </c>
      <c r="G13" s="736"/>
      <c r="H13" s="737"/>
      <c r="I13" s="735" t="s">
        <v>1094</v>
      </c>
      <c r="J13" s="736"/>
      <c r="K13" s="737"/>
      <c r="L13" s="735" t="s">
        <v>234</v>
      </c>
      <c r="M13" s="736"/>
      <c r="N13" s="737"/>
      <c r="O13" s="245"/>
      <c r="P13" s="246"/>
      <c r="Q13" s="247"/>
      <c r="R13" s="735" t="s">
        <v>262</v>
      </c>
      <c r="S13" s="736"/>
      <c r="T13" s="737"/>
      <c r="U13" s="242"/>
      <c r="V13" s="243"/>
      <c r="W13" s="244"/>
      <c r="X13" s="242"/>
      <c r="Y13" s="243"/>
      <c r="Z13" s="244"/>
    </row>
    <row r="14" spans="1:33" s="255" customFormat="1" ht="20.149999999999999" customHeight="1" x14ac:dyDescent="0.55000000000000004">
      <c r="B14" s="745"/>
      <c r="C14" s="623"/>
      <c r="D14" s="624"/>
      <c r="E14" s="627"/>
      <c r="F14" s="597"/>
      <c r="G14" s="598"/>
      <c r="H14" s="601"/>
      <c r="I14" s="552"/>
      <c r="J14" s="553"/>
      <c r="K14" s="556"/>
      <c r="L14" s="522"/>
      <c r="M14" s="523"/>
      <c r="N14" s="526"/>
      <c r="O14" s="242"/>
      <c r="P14" s="243"/>
      <c r="Q14" s="244"/>
      <c r="R14" s="242"/>
      <c r="S14" s="243"/>
      <c r="T14" s="244"/>
      <c r="U14" s="242"/>
      <c r="V14" s="243"/>
      <c r="W14" s="244"/>
      <c r="X14" s="242"/>
      <c r="Y14" s="243"/>
      <c r="Z14" s="244"/>
    </row>
    <row r="15" spans="1:33" s="255" customFormat="1" ht="20.149999999999999" customHeight="1" x14ac:dyDescent="0.55000000000000004">
      <c r="B15" s="745"/>
      <c r="C15" s="626"/>
      <c r="D15" s="624"/>
      <c r="E15" s="625"/>
      <c r="F15" s="600"/>
      <c r="G15" s="598"/>
      <c r="H15" s="599"/>
      <c r="I15" s="555"/>
      <c r="J15" s="553"/>
      <c r="K15" s="554"/>
      <c r="L15" s="525"/>
      <c r="M15" s="523"/>
      <c r="N15" s="524"/>
      <c r="O15" s="732" t="s">
        <v>256</v>
      </c>
      <c r="P15" s="733"/>
      <c r="Q15" s="734"/>
      <c r="R15" s="732" t="s">
        <v>263</v>
      </c>
      <c r="S15" s="733"/>
      <c r="T15" s="734"/>
      <c r="U15" s="732" t="s">
        <v>263</v>
      </c>
      <c r="V15" s="733"/>
      <c r="W15" s="734"/>
      <c r="X15" s="732" t="s">
        <v>268</v>
      </c>
      <c r="Y15" s="733"/>
      <c r="Z15" s="734"/>
    </row>
    <row r="16" spans="1:33" s="255" customFormat="1" ht="20.149999999999999" customHeight="1" x14ac:dyDescent="0.55000000000000004">
      <c r="B16" s="745"/>
      <c r="C16" s="628"/>
      <c r="D16" s="629"/>
      <c r="E16" s="630"/>
      <c r="F16" s="602"/>
      <c r="G16" s="603"/>
      <c r="H16" s="604"/>
      <c r="I16" s="557"/>
      <c r="J16" s="558"/>
      <c r="K16" s="559"/>
      <c r="L16" s="527"/>
      <c r="M16" s="528"/>
      <c r="N16" s="529"/>
      <c r="O16" s="735" t="s">
        <v>257</v>
      </c>
      <c r="P16" s="736"/>
      <c r="Q16" s="737"/>
      <c r="R16" s="728" t="s">
        <v>264</v>
      </c>
      <c r="S16" s="729"/>
      <c r="T16" s="730"/>
      <c r="U16" s="728" t="s">
        <v>265</v>
      </c>
      <c r="V16" s="729"/>
      <c r="W16" s="730"/>
      <c r="X16" s="728" t="s">
        <v>269</v>
      </c>
      <c r="Y16" s="729"/>
      <c r="Z16" s="730"/>
    </row>
    <row r="17" spans="1:26" s="255" customFormat="1" ht="20.149999999999999" customHeight="1" x14ac:dyDescent="0.55000000000000004">
      <c r="B17" s="745"/>
      <c r="C17" s="628"/>
      <c r="D17" s="629"/>
      <c r="E17" s="630"/>
      <c r="F17" s="602"/>
      <c r="G17" s="603"/>
      <c r="H17" s="604"/>
      <c r="I17" s="557"/>
      <c r="J17" s="558"/>
      <c r="K17" s="559"/>
      <c r="L17" s="527"/>
      <c r="M17" s="528"/>
      <c r="N17" s="529"/>
      <c r="O17" s="735" t="s">
        <v>258</v>
      </c>
      <c r="P17" s="736"/>
      <c r="Q17" s="737"/>
      <c r="R17" s="242"/>
      <c r="S17" s="243"/>
      <c r="T17" s="244"/>
      <c r="U17" s="242"/>
      <c r="V17" s="243"/>
      <c r="W17" s="244"/>
      <c r="X17" s="242"/>
      <c r="Y17" s="243"/>
      <c r="Z17" s="244"/>
    </row>
    <row r="18" spans="1:26" s="255" customFormat="1" ht="20.149999999999999" customHeight="1" x14ac:dyDescent="0.55000000000000004">
      <c r="B18" s="746"/>
      <c r="C18" s="123"/>
      <c r="D18" s="120"/>
      <c r="E18" s="124"/>
      <c r="F18" s="123"/>
      <c r="G18" s="120"/>
      <c r="H18" s="124"/>
      <c r="I18" s="123"/>
      <c r="J18" s="120"/>
      <c r="K18" s="124"/>
      <c r="L18" s="123"/>
      <c r="M18" s="120"/>
      <c r="N18" s="124"/>
      <c r="O18" s="741" t="s">
        <v>259</v>
      </c>
      <c r="P18" s="742"/>
      <c r="Q18" s="743"/>
      <c r="R18" s="125"/>
      <c r="S18" s="121"/>
      <c r="T18" s="122"/>
      <c r="U18" s="125"/>
      <c r="V18" s="121"/>
      <c r="W18" s="122"/>
      <c r="X18" s="125"/>
      <c r="Y18" s="121"/>
      <c r="Z18" s="122"/>
    </row>
    <row r="19" spans="1:26" s="255" customFormat="1" ht="20.149999999999999" customHeight="1" x14ac:dyDescent="0.55000000000000004">
      <c r="A19" s="738" t="s">
        <v>251</v>
      </c>
      <c r="B19" s="249" t="s">
        <v>239</v>
      </c>
      <c r="C19" s="131">
        <v>17</v>
      </c>
      <c r="D19" s="132" t="s">
        <v>1124</v>
      </c>
      <c r="E19" s="117">
        <v>887236</v>
      </c>
      <c r="F19" s="131">
        <v>12</v>
      </c>
      <c r="G19" s="132" t="s">
        <v>1124</v>
      </c>
      <c r="H19" s="117">
        <v>837635</v>
      </c>
      <c r="I19" s="131">
        <v>9</v>
      </c>
      <c r="J19" s="132" t="s">
        <v>235</v>
      </c>
      <c r="K19" s="117">
        <v>794503</v>
      </c>
      <c r="L19" s="131">
        <v>9</v>
      </c>
      <c r="M19" s="132" t="s">
        <v>1087</v>
      </c>
      <c r="N19" s="117">
        <v>738950</v>
      </c>
      <c r="O19" s="131">
        <v>10</v>
      </c>
      <c r="P19" s="132" t="s">
        <v>235</v>
      </c>
      <c r="Q19" s="117">
        <v>770298</v>
      </c>
      <c r="R19" s="131">
        <v>10</v>
      </c>
      <c r="S19" s="133" t="s">
        <v>235</v>
      </c>
      <c r="T19" s="117">
        <v>769932</v>
      </c>
      <c r="U19" s="131">
        <v>8</v>
      </c>
      <c r="V19" s="133" t="s">
        <v>235</v>
      </c>
      <c r="W19" s="117">
        <v>838021</v>
      </c>
      <c r="X19" s="131">
        <v>10</v>
      </c>
      <c r="Y19" s="133" t="s">
        <v>235</v>
      </c>
      <c r="Z19" s="117">
        <v>925652</v>
      </c>
    </row>
    <row r="20" spans="1:26" s="255" customFormat="1" ht="20.149999999999999" customHeight="1" x14ac:dyDescent="0.55000000000000004">
      <c r="A20" s="739"/>
      <c r="B20" s="250" t="s">
        <v>240</v>
      </c>
      <c r="C20" s="119">
        <v>12</v>
      </c>
      <c r="D20" s="134" t="s">
        <v>1124</v>
      </c>
      <c r="E20" s="118">
        <v>799912</v>
      </c>
      <c r="F20" s="119">
        <v>9</v>
      </c>
      <c r="G20" s="134" t="s">
        <v>1124</v>
      </c>
      <c r="H20" s="118">
        <v>836886</v>
      </c>
      <c r="I20" s="119">
        <v>8</v>
      </c>
      <c r="J20" s="134" t="s">
        <v>235</v>
      </c>
      <c r="K20" s="118">
        <v>765169</v>
      </c>
      <c r="L20" s="119">
        <v>11</v>
      </c>
      <c r="M20" s="134" t="s">
        <v>1087</v>
      </c>
      <c r="N20" s="118">
        <v>701628</v>
      </c>
      <c r="O20" s="119">
        <v>10</v>
      </c>
      <c r="P20" s="134" t="s">
        <v>235</v>
      </c>
      <c r="Q20" s="118">
        <v>786040</v>
      </c>
      <c r="R20" s="119">
        <v>8</v>
      </c>
      <c r="S20" s="135" t="s">
        <v>235</v>
      </c>
      <c r="T20" s="118">
        <v>737668</v>
      </c>
      <c r="U20" s="119">
        <v>10</v>
      </c>
      <c r="V20" s="135" t="s">
        <v>235</v>
      </c>
      <c r="W20" s="118">
        <v>772113</v>
      </c>
      <c r="X20" s="119">
        <v>9</v>
      </c>
      <c r="Y20" s="135" t="s">
        <v>235</v>
      </c>
      <c r="Z20" s="118">
        <v>790692</v>
      </c>
    </row>
    <row r="21" spans="1:26" s="255" customFormat="1" ht="20.149999999999999" customHeight="1" x14ac:dyDescent="0.55000000000000004">
      <c r="A21" s="739"/>
      <c r="B21" s="250" t="s">
        <v>241</v>
      </c>
      <c r="C21" s="119">
        <v>12</v>
      </c>
      <c r="D21" s="134" t="s">
        <v>1124</v>
      </c>
      <c r="E21" s="118">
        <v>873421</v>
      </c>
      <c r="F21" s="119">
        <v>11</v>
      </c>
      <c r="G21" s="134" t="s">
        <v>1124</v>
      </c>
      <c r="H21" s="118">
        <v>819264</v>
      </c>
      <c r="I21" s="119">
        <v>10</v>
      </c>
      <c r="J21" s="134" t="s">
        <v>235</v>
      </c>
      <c r="K21" s="118">
        <v>741109</v>
      </c>
      <c r="L21" s="119">
        <v>10</v>
      </c>
      <c r="M21" s="134" t="s">
        <v>1087</v>
      </c>
      <c r="N21" s="118">
        <v>713334</v>
      </c>
      <c r="O21" s="119">
        <v>10</v>
      </c>
      <c r="P21" s="134" t="s">
        <v>235</v>
      </c>
      <c r="Q21" s="118">
        <v>808701</v>
      </c>
      <c r="R21" s="119">
        <v>10</v>
      </c>
      <c r="S21" s="135" t="s">
        <v>235</v>
      </c>
      <c r="T21" s="118">
        <v>775451</v>
      </c>
      <c r="U21" s="119">
        <v>10</v>
      </c>
      <c r="V21" s="135" t="s">
        <v>235</v>
      </c>
      <c r="W21" s="118">
        <v>844523</v>
      </c>
      <c r="X21" s="119">
        <v>10</v>
      </c>
      <c r="Y21" s="135" t="s">
        <v>235</v>
      </c>
      <c r="Z21" s="118">
        <v>833772</v>
      </c>
    </row>
    <row r="22" spans="1:26" s="255" customFormat="1" ht="20.149999999999999" customHeight="1" x14ac:dyDescent="0.55000000000000004">
      <c r="A22" s="739"/>
      <c r="B22" s="250" t="s">
        <v>242</v>
      </c>
      <c r="C22" s="119">
        <v>13</v>
      </c>
      <c r="D22" s="134" t="s">
        <v>1124</v>
      </c>
      <c r="E22" s="118">
        <v>853696</v>
      </c>
      <c r="F22" s="119">
        <v>9</v>
      </c>
      <c r="G22" s="134" t="s">
        <v>1124</v>
      </c>
      <c r="H22" s="118">
        <v>871518</v>
      </c>
      <c r="I22" s="119">
        <v>10</v>
      </c>
      <c r="J22" s="134" t="s">
        <v>235</v>
      </c>
      <c r="K22" s="118">
        <v>785844</v>
      </c>
      <c r="L22" s="119">
        <v>10</v>
      </c>
      <c r="M22" s="134" t="s">
        <v>1087</v>
      </c>
      <c r="N22" s="118">
        <v>754156</v>
      </c>
      <c r="O22" s="119">
        <v>10</v>
      </c>
      <c r="P22" s="134" t="s">
        <v>235</v>
      </c>
      <c r="Q22" s="118">
        <v>752439</v>
      </c>
      <c r="R22" s="119">
        <v>11</v>
      </c>
      <c r="S22" s="135" t="s">
        <v>235</v>
      </c>
      <c r="T22" s="118">
        <v>769483</v>
      </c>
      <c r="U22" s="119">
        <v>9</v>
      </c>
      <c r="V22" s="135" t="s">
        <v>235</v>
      </c>
      <c r="W22" s="118">
        <v>810815</v>
      </c>
      <c r="X22" s="119">
        <v>10</v>
      </c>
      <c r="Y22" s="135" t="s">
        <v>235</v>
      </c>
      <c r="Z22" s="118">
        <v>849987</v>
      </c>
    </row>
    <row r="23" spans="1:26" s="255" customFormat="1" ht="20.149999999999999" customHeight="1" x14ac:dyDescent="0.55000000000000004">
      <c r="A23" s="739"/>
      <c r="B23" s="250" t="s">
        <v>243</v>
      </c>
      <c r="C23" s="119">
        <v>13</v>
      </c>
      <c r="D23" s="134" t="s">
        <v>1124</v>
      </c>
      <c r="E23" s="118">
        <v>845717</v>
      </c>
      <c r="F23" s="119">
        <v>12</v>
      </c>
      <c r="G23" s="134" t="s">
        <v>1124</v>
      </c>
      <c r="H23" s="118">
        <v>861512</v>
      </c>
      <c r="I23" s="119">
        <v>11</v>
      </c>
      <c r="J23" s="134" t="s">
        <v>235</v>
      </c>
      <c r="K23" s="118">
        <v>794869</v>
      </c>
      <c r="L23" s="119">
        <v>10</v>
      </c>
      <c r="M23" s="134" t="s">
        <v>1087</v>
      </c>
      <c r="N23" s="118">
        <v>766055</v>
      </c>
      <c r="O23" s="119">
        <v>9</v>
      </c>
      <c r="P23" s="134" t="s">
        <v>235</v>
      </c>
      <c r="Q23" s="118">
        <v>809826</v>
      </c>
      <c r="R23" s="119">
        <v>10</v>
      </c>
      <c r="S23" s="135" t="s">
        <v>235</v>
      </c>
      <c r="T23" s="118">
        <v>764824</v>
      </c>
      <c r="U23" s="119">
        <v>10</v>
      </c>
      <c r="V23" s="135" t="s">
        <v>235</v>
      </c>
      <c r="W23" s="118">
        <v>807061</v>
      </c>
      <c r="X23" s="119">
        <v>10</v>
      </c>
      <c r="Y23" s="135" t="s">
        <v>235</v>
      </c>
      <c r="Z23" s="118">
        <v>861090</v>
      </c>
    </row>
    <row r="24" spans="1:26" s="255" customFormat="1" ht="20.149999999999999" customHeight="1" x14ac:dyDescent="0.55000000000000004">
      <c r="A24" s="739"/>
      <c r="B24" s="250" t="s">
        <v>244</v>
      </c>
      <c r="C24" s="119">
        <v>14</v>
      </c>
      <c r="D24" s="134" t="s">
        <v>1124</v>
      </c>
      <c r="E24" s="118">
        <v>865597</v>
      </c>
      <c r="F24" s="119">
        <v>11</v>
      </c>
      <c r="G24" s="134" t="s">
        <v>1124</v>
      </c>
      <c r="H24" s="118">
        <v>872534</v>
      </c>
      <c r="I24" s="119">
        <v>10</v>
      </c>
      <c r="J24" s="134" t="s">
        <v>235</v>
      </c>
      <c r="K24" s="118">
        <v>775641</v>
      </c>
      <c r="L24" s="119">
        <v>11</v>
      </c>
      <c r="M24" s="134" t="s">
        <v>1087</v>
      </c>
      <c r="N24" s="118">
        <v>746329</v>
      </c>
      <c r="O24" s="119">
        <v>10</v>
      </c>
      <c r="P24" s="134" t="s">
        <v>235</v>
      </c>
      <c r="Q24" s="118">
        <v>801947</v>
      </c>
      <c r="R24" s="119">
        <v>11</v>
      </c>
      <c r="S24" s="135" t="s">
        <v>235</v>
      </c>
      <c r="T24" s="118">
        <v>792703</v>
      </c>
      <c r="U24" s="119">
        <v>8</v>
      </c>
      <c r="V24" s="135" t="s">
        <v>235</v>
      </c>
      <c r="W24" s="118">
        <v>829940</v>
      </c>
      <c r="X24" s="119">
        <v>9</v>
      </c>
      <c r="Y24" s="135" t="s">
        <v>235</v>
      </c>
      <c r="Z24" s="118">
        <v>889802</v>
      </c>
    </row>
    <row r="25" spans="1:26" s="255" customFormat="1" ht="20.149999999999999" customHeight="1" x14ac:dyDescent="0.55000000000000004">
      <c r="A25" s="739"/>
      <c r="B25" s="250" t="s">
        <v>248</v>
      </c>
      <c r="C25" s="119">
        <v>13</v>
      </c>
      <c r="D25" s="134" t="s">
        <v>1124</v>
      </c>
      <c r="E25" s="118">
        <v>839396</v>
      </c>
      <c r="F25" s="119">
        <v>11</v>
      </c>
      <c r="G25" s="134" t="s">
        <v>1124</v>
      </c>
      <c r="H25" s="118">
        <v>861009</v>
      </c>
      <c r="I25" s="119">
        <v>12</v>
      </c>
      <c r="J25" s="134" t="s">
        <v>235</v>
      </c>
      <c r="K25" s="118">
        <v>1080175</v>
      </c>
      <c r="L25" s="119">
        <v>10</v>
      </c>
      <c r="M25" s="134" t="s">
        <v>1087</v>
      </c>
      <c r="N25" s="118">
        <v>1022380</v>
      </c>
      <c r="O25" s="119">
        <v>10</v>
      </c>
      <c r="P25" s="134" t="s">
        <v>235</v>
      </c>
      <c r="Q25" s="118">
        <v>831065</v>
      </c>
      <c r="R25" s="119">
        <v>9</v>
      </c>
      <c r="S25" s="135" t="s">
        <v>235</v>
      </c>
      <c r="T25" s="118">
        <v>1019900</v>
      </c>
      <c r="U25" s="119">
        <v>11</v>
      </c>
      <c r="V25" s="135" t="s">
        <v>235</v>
      </c>
      <c r="W25" s="118">
        <v>790429</v>
      </c>
      <c r="X25" s="119">
        <v>11</v>
      </c>
      <c r="Y25" s="135" t="s">
        <v>235</v>
      </c>
      <c r="Z25" s="118">
        <v>842052</v>
      </c>
    </row>
    <row r="26" spans="1:26" s="255" customFormat="1" ht="20.149999999999999" customHeight="1" x14ac:dyDescent="0.55000000000000004">
      <c r="A26" s="739"/>
      <c r="B26" s="250" t="s">
        <v>249</v>
      </c>
      <c r="C26" s="119">
        <v>11</v>
      </c>
      <c r="D26" s="134" t="s">
        <v>1124</v>
      </c>
      <c r="E26" s="118">
        <v>870697</v>
      </c>
      <c r="F26" s="119">
        <v>12</v>
      </c>
      <c r="G26" s="134" t="s">
        <v>1124</v>
      </c>
      <c r="H26" s="118">
        <v>834246</v>
      </c>
      <c r="I26" s="119">
        <v>10</v>
      </c>
      <c r="J26" s="134" t="s">
        <v>235</v>
      </c>
      <c r="K26" s="118">
        <v>597996</v>
      </c>
      <c r="L26" s="119">
        <v>10</v>
      </c>
      <c r="M26" s="134" t="s">
        <v>1087</v>
      </c>
      <c r="N26" s="118">
        <v>583302</v>
      </c>
      <c r="O26" s="119">
        <v>10</v>
      </c>
      <c r="P26" s="134" t="s">
        <v>235</v>
      </c>
      <c r="Q26" s="118">
        <v>725332</v>
      </c>
      <c r="R26" s="119">
        <v>10</v>
      </c>
      <c r="S26" s="135" t="s">
        <v>235</v>
      </c>
      <c r="T26" s="118">
        <v>589652</v>
      </c>
      <c r="U26" s="119">
        <v>10</v>
      </c>
      <c r="V26" s="135" t="s">
        <v>235</v>
      </c>
      <c r="W26" s="118">
        <v>792160</v>
      </c>
      <c r="X26" s="119">
        <v>10</v>
      </c>
      <c r="Y26" s="135" t="s">
        <v>235</v>
      </c>
      <c r="Z26" s="118">
        <v>835506</v>
      </c>
    </row>
    <row r="27" spans="1:26" s="255" customFormat="1" ht="20.149999999999999" customHeight="1" x14ac:dyDescent="0.55000000000000004">
      <c r="A27" s="739"/>
      <c r="B27" s="250" t="s">
        <v>250</v>
      </c>
      <c r="C27" s="119">
        <v>14</v>
      </c>
      <c r="D27" s="134" t="s">
        <v>1124</v>
      </c>
      <c r="E27" s="118">
        <v>873150</v>
      </c>
      <c r="F27" s="119">
        <v>13</v>
      </c>
      <c r="G27" s="134" t="s">
        <v>1124</v>
      </c>
      <c r="H27" s="118">
        <v>842686</v>
      </c>
      <c r="I27" s="119">
        <v>11</v>
      </c>
      <c r="J27" s="134" t="s">
        <v>235</v>
      </c>
      <c r="K27" s="118">
        <v>768955</v>
      </c>
      <c r="L27" s="119">
        <v>9</v>
      </c>
      <c r="M27" s="134" t="s">
        <v>1087</v>
      </c>
      <c r="N27" s="118">
        <v>690660</v>
      </c>
      <c r="O27" s="119">
        <v>10</v>
      </c>
      <c r="P27" s="134" t="s">
        <v>235</v>
      </c>
      <c r="Q27" s="118">
        <v>743404</v>
      </c>
      <c r="R27" s="119">
        <v>11</v>
      </c>
      <c r="S27" s="135" t="s">
        <v>235</v>
      </c>
      <c r="T27" s="118">
        <v>726366</v>
      </c>
      <c r="U27" s="119">
        <v>10</v>
      </c>
      <c r="V27" s="135" t="s">
        <v>235</v>
      </c>
      <c r="W27" s="118">
        <v>747825</v>
      </c>
      <c r="X27" s="119">
        <v>10</v>
      </c>
      <c r="Y27" s="135" t="s">
        <v>235</v>
      </c>
      <c r="Z27" s="118">
        <v>800999</v>
      </c>
    </row>
    <row r="28" spans="1:26" s="255" customFormat="1" ht="20.149999999999999" customHeight="1" x14ac:dyDescent="0.55000000000000004">
      <c r="A28" s="739"/>
      <c r="B28" s="250" t="s">
        <v>245</v>
      </c>
      <c r="C28" s="119">
        <v>15</v>
      </c>
      <c r="D28" s="134" t="s">
        <v>1124</v>
      </c>
      <c r="E28" s="118">
        <v>862262</v>
      </c>
      <c r="F28" s="119">
        <v>12</v>
      </c>
      <c r="G28" s="134" t="s">
        <v>1124</v>
      </c>
      <c r="H28" s="118">
        <v>898496</v>
      </c>
      <c r="I28" s="119">
        <v>10</v>
      </c>
      <c r="J28" s="134" t="s">
        <v>235</v>
      </c>
      <c r="K28" s="118">
        <v>874050</v>
      </c>
      <c r="L28" s="119">
        <v>11</v>
      </c>
      <c r="M28" s="134" t="s">
        <v>1087</v>
      </c>
      <c r="N28" s="118">
        <v>802359</v>
      </c>
      <c r="O28" s="119">
        <v>10</v>
      </c>
      <c r="P28" s="134" t="s">
        <v>235</v>
      </c>
      <c r="Q28" s="118">
        <v>791020</v>
      </c>
      <c r="R28" s="119">
        <v>9</v>
      </c>
      <c r="S28" s="135" t="s">
        <v>235</v>
      </c>
      <c r="T28" s="118">
        <v>804523</v>
      </c>
      <c r="U28" s="119">
        <v>9</v>
      </c>
      <c r="V28" s="135" t="s">
        <v>235</v>
      </c>
      <c r="W28" s="118">
        <v>829535</v>
      </c>
      <c r="X28" s="119">
        <v>11</v>
      </c>
      <c r="Y28" s="135" t="s">
        <v>235</v>
      </c>
      <c r="Z28" s="118">
        <v>901570</v>
      </c>
    </row>
    <row r="29" spans="1:26" s="255" customFormat="1" ht="20.149999999999999" customHeight="1" x14ac:dyDescent="0.55000000000000004">
      <c r="A29" s="739"/>
      <c r="B29" s="250" t="s">
        <v>246</v>
      </c>
      <c r="C29" s="119">
        <v>13</v>
      </c>
      <c r="D29" s="134" t="s">
        <v>1124</v>
      </c>
      <c r="E29" s="118">
        <v>780679</v>
      </c>
      <c r="F29" s="119">
        <v>12</v>
      </c>
      <c r="G29" s="134" t="s">
        <v>1124</v>
      </c>
      <c r="H29" s="118">
        <v>762937</v>
      </c>
      <c r="I29" s="119">
        <v>11</v>
      </c>
      <c r="J29" s="134" t="s">
        <v>235</v>
      </c>
      <c r="K29" s="118">
        <v>738326</v>
      </c>
      <c r="L29" s="119">
        <v>11</v>
      </c>
      <c r="M29" s="134" t="s">
        <v>1087</v>
      </c>
      <c r="N29" s="118">
        <v>695308</v>
      </c>
      <c r="O29" s="119">
        <v>10</v>
      </c>
      <c r="P29" s="134" t="s">
        <v>235</v>
      </c>
      <c r="Q29" s="118">
        <v>728570</v>
      </c>
      <c r="R29" s="119">
        <v>9</v>
      </c>
      <c r="S29" s="135" t="s">
        <v>235</v>
      </c>
      <c r="T29" s="118">
        <v>719977</v>
      </c>
      <c r="U29" s="119">
        <v>8</v>
      </c>
      <c r="V29" s="135" t="s">
        <v>235</v>
      </c>
      <c r="W29" s="118">
        <v>694305</v>
      </c>
      <c r="X29" s="119">
        <v>9</v>
      </c>
      <c r="Y29" s="135" t="s">
        <v>235</v>
      </c>
      <c r="Z29" s="118">
        <v>724151</v>
      </c>
    </row>
    <row r="30" spans="1:26" s="255" customFormat="1" ht="20.149999999999999" customHeight="1" x14ac:dyDescent="0.55000000000000004">
      <c r="A30" s="740"/>
      <c r="B30" s="250" t="s">
        <v>247</v>
      </c>
      <c r="C30" s="119">
        <v>14</v>
      </c>
      <c r="D30" s="134" t="s">
        <v>1124</v>
      </c>
      <c r="E30" s="118">
        <v>762030</v>
      </c>
      <c r="F30" s="119">
        <v>12</v>
      </c>
      <c r="G30" s="134" t="s">
        <v>1124</v>
      </c>
      <c r="H30" s="118">
        <v>758051</v>
      </c>
      <c r="I30" s="119">
        <v>11</v>
      </c>
      <c r="J30" s="134" t="s">
        <v>235</v>
      </c>
      <c r="K30" s="118">
        <v>724852</v>
      </c>
      <c r="L30" s="119">
        <v>9</v>
      </c>
      <c r="M30" s="134" t="s">
        <v>1087</v>
      </c>
      <c r="N30" s="118">
        <v>680698</v>
      </c>
      <c r="O30" s="119">
        <v>11</v>
      </c>
      <c r="P30" s="134" t="s">
        <v>235</v>
      </c>
      <c r="Q30" s="118">
        <v>699064</v>
      </c>
      <c r="R30" s="119">
        <v>10</v>
      </c>
      <c r="S30" s="135" t="s">
        <v>235</v>
      </c>
      <c r="T30" s="118">
        <v>705908</v>
      </c>
      <c r="U30" s="119">
        <v>11</v>
      </c>
      <c r="V30" s="135" t="s">
        <v>235</v>
      </c>
      <c r="W30" s="118">
        <v>668865</v>
      </c>
      <c r="X30" s="119">
        <v>10</v>
      </c>
      <c r="Y30" s="135" t="s">
        <v>235</v>
      </c>
      <c r="Z30" s="118">
        <v>725960</v>
      </c>
    </row>
    <row r="31" spans="1:26" s="255" customFormat="1" ht="20.149999999999999" customHeight="1" x14ac:dyDescent="0.55000000000000004">
      <c r="B31" s="398" t="s">
        <v>252</v>
      </c>
      <c r="C31" s="142">
        <f>SUM(C19:C30)</f>
        <v>161</v>
      </c>
      <c r="D31" s="143" t="s">
        <v>1124</v>
      </c>
      <c r="E31" s="144">
        <f>SUM(E19:E30)</f>
        <v>10113793</v>
      </c>
      <c r="F31" s="142">
        <f>SUM(F19:F30)</f>
        <v>136</v>
      </c>
      <c r="G31" s="143" t="s">
        <v>1124</v>
      </c>
      <c r="H31" s="144">
        <f>SUM(H19:H30)</f>
        <v>10056774</v>
      </c>
      <c r="I31" s="142">
        <f>SUM(I19:I30)</f>
        <v>123</v>
      </c>
      <c r="J31" s="143" t="s">
        <v>235</v>
      </c>
      <c r="K31" s="144">
        <f>SUM(K19:K30)</f>
        <v>9441489</v>
      </c>
      <c r="L31" s="142">
        <f>SUM(L19:L30)</f>
        <v>121</v>
      </c>
      <c r="M31" s="143" t="s">
        <v>1087</v>
      </c>
      <c r="N31" s="144">
        <f>SUM(N19:N30)</f>
        <v>8895159</v>
      </c>
      <c r="O31" s="142">
        <v>120</v>
      </c>
      <c r="P31" s="143" t="s">
        <v>235</v>
      </c>
      <c r="Q31" s="144">
        <v>9247706</v>
      </c>
      <c r="R31" s="142">
        <v>118</v>
      </c>
      <c r="S31" s="143" t="s">
        <v>235</v>
      </c>
      <c r="T31" s="144">
        <v>9176387</v>
      </c>
      <c r="U31" s="142">
        <v>114</v>
      </c>
      <c r="V31" s="143" t="s">
        <v>235</v>
      </c>
      <c r="W31" s="144">
        <v>9425592</v>
      </c>
      <c r="X31" s="142">
        <v>119</v>
      </c>
      <c r="Y31" s="143" t="s">
        <v>235</v>
      </c>
      <c r="Z31" s="144">
        <v>9981233</v>
      </c>
    </row>
    <row r="32" spans="1:26" s="255" customFormat="1" ht="20.149999999999999" customHeight="1" thickBot="1" x14ac:dyDescent="0.6">
      <c r="B32" s="251" t="s">
        <v>253</v>
      </c>
      <c r="C32" s="146">
        <v>9</v>
      </c>
      <c r="D32" s="535" t="s">
        <v>1124</v>
      </c>
      <c r="E32" s="148">
        <v>272</v>
      </c>
      <c r="F32" s="146">
        <v>8</v>
      </c>
      <c r="G32" s="535" t="s">
        <v>1124</v>
      </c>
      <c r="H32" s="148">
        <v>339</v>
      </c>
      <c r="I32" s="146">
        <v>633</v>
      </c>
      <c r="J32" s="535" t="s">
        <v>235</v>
      </c>
      <c r="K32" s="148">
        <v>35059</v>
      </c>
      <c r="L32" s="146">
        <v>641</v>
      </c>
      <c r="M32" s="147" t="s">
        <v>1087</v>
      </c>
      <c r="N32" s="148">
        <v>31520</v>
      </c>
      <c r="O32" s="146">
        <v>356</v>
      </c>
      <c r="P32" s="147" t="s">
        <v>235</v>
      </c>
      <c r="Q32" s="148">
        <v>826</v>
      </c>
      <c r="R32" s="146">
        <v>797</v>
      </c>
      <c r="S32" s="149" t="s">
        <v>235</v>
      </c>
      <c r="T32" s="148">
        <v>42735</v>
      </c>
      <c r="U32" s="146">
        <v>687</v>
      </c>
      <c r="V32" s="149" t="s">
        <v>235</v>
      </c>
      <c r="W32" s="150">
        <v>1067</v>
      </c>
      <c r="X32" s="151">
        <v>650</v>
      </c>
      <c r="Y32" s="149" t="s">
        <v>235</v>
      </c>
      <c r="Z32" s="150">
        <v>1268</v>
      </c>
    </row>
    <row r="33" spans="2:26" s="255" customFormat="1" ht="20.149999999999999" customHeight="1" thickTop="1" x14ac:dyDescent="0.55000000000000004">
      <c r="B33" s="404" t="s">
        <v>113</v>
      </c>
      <c r="C33" s="145">
        <f>SUM(C31:C32)</f>
        <v>170</v>
      </c>
      <c r="D33" s="143" t="s">
        <v>235</v>
      </c>
      <c r="E33" s="144">
        <f>SUM(E31:E32)</f>
        <v>10114065</v>
      </c>
      <c r="F33" s="145">
        <f>SUM(F31:F32)</f>
        <v>144</v>
      </c>
      <c r="G33" s="143" t="s">
        <v>235</v>
      </c>
      <c r="H33" s="144">
        <f>SUM(H31:H32)</f>
        <v>10057113</v>
      </c>
      <c r="I33" s="145">
        <f>SUM(I31:I32)</f>
        <v>756</v>
      </c>
      <c r="J33" s="143" t="s">
        <v>235</v>
      </c>
      <c r="K33" s="144">
        <f>SUM(K31:K32)</f>
        <v>9476548</v>
      </c>
      <c r="L33" s="145">
        <f>SUM(L31:L32)</f>
        <v>762</v>
      </c>
      <c r="M33" s="143" t="s">
        <v>1087</v>
      </c>
      <c r="N33" s="144">
        <f>SUM(N31:N32)</f>
        <v>8926679</v>
      </c>
      <c r="O33" s="145">
        <f>SUM(O31:O32)</f>
        <v>476</v>
      </c>
      <c r="P33" s="143" t="s">
        <v>235</v>
      </c>
      <c r="Q33" s="144">
        <f>SUM(Q31:Q32)</f>
        <v>9248532</v>
      </c>
      <c r="R33" s="145">
        <f>SUM(R31:R32)</f>
        <v>915</v>
      </c>
      <c r="S33" s="143" t="s">
        <v>235</v>
      </c>
      <c r="T33" s="144">
        <f>SUM(T31:T32)</f>
        <v>9219122</v>
      </c>
      <c r="U33" s="145">
        <f>SUM(U31:U32)</f>
        <v>801</v>
      </c>
      <c r="V33" s="143" t="s">
        <v>235</v>
      </c>
      <c r="W33" s="144">
        <f>SUM(W31:W32)</f>
        <v>9426659</v>
      </c>
      <c r="X33" s="145">
        <f>SUM(X31:X32)</f>
        <v>769</v>
      </c>
      <c r="Y33" s="143" t="s">
        <v>235</v>
      </c>
      <c r="Z33" s="144">
        <f>SUM(Z31:Z32)</f>
        <v>9982501</v>
      </c>
    </row>
    <row r="34" spans="2:26" s="255" customFormat="1" ht="20.149999999999999" customHeight="1" x14ac:dyDescent="0.55000000000000004">
      <c r="B34" s="405" t="s">
        <v>254</v>
      </c>
      <c r="C34" s="136"/>
      <c r="D34" s="138"/>
      <c r="E34" s="137">
        <f>E33/12</f>
        <v>842838.75</v>
      </c>
      <c r="F34" s="136"/>
      <c r="G34" s="138"/>
      <c r="H34" s="137">
        <f>H33/12</f>
        <v>838092.75</v>
      </c>
      <c r="I34" s="136"/>
      <c r="J34" s="138"/>
      <c r="K34" s="137">
        <f>K33/12</f>
        <v>789712.33333333337</v>
      </c>
      <c r="L34" s="136"/>
      <c r="M34" s="138"/>
      <c r="N34" s="137">
        <f>N33/12</f>
        <v>743889.91666666663</v>
      </c>
      <c r="O34" s="136"/>
      <c r="P34" s="138"/>
      <c r="Q34" s="137">
        <f>Q33/12</f>
        <v>770711</v>
      </c>
      <c r="R34" s="136"/>
      <c r="S34" s="138"/>
      <c r="T34" s="137">
        <f>T33/12</f>
        <v>768260.16666666663</v>
      </c>
      <c r="U34" s="136"/>
      <c r="V34" s="138"/>
      <c r="W34" s="137">
        <f>W33/12</f>
        <v>785554.91666666663</v>
      </c>
      <c r="X34" s="136"/>
      <c r="Y34" s="138"/>
      <c r="Z34" s="137">
        <f>Z33/12</f>
        <v>831875.08333333337</v>
      </c>
    </row>
    <row r="35" spans="2:26" s="255" customFormat="1" ht="20.149999999999999" customHeight="1" x14ac:dyDescent="0.55000000000000004">
      <c r="B35" s="406" t="s">
        <v>237</v>
      </c>
      <c r="C35" s="139"/>
      <c r="D35" s="140"/>
      <c r="E35" s="141">
        <f>E33/H33*100</f>
        <v>100.56628577206999</v>
      </c>
      <c r="F35" s="139"/>
      <c r="G35" s="140"/>
      <c r="H35" s="141">
        <f>H33/K33*100</f>
        <v>106.12633418835635</v>
      </c>
      <c r="I35" s="139"/>
      <c r="J35" s="140"/>
      <c r="K35" s="141">
        <f>K33/N33*100</f>
        <v>106.15983839006644</v>
      </c>
      <c r="L35" s="139"/>
      <c r="M35" s="140"/>
      <c r="N35" s="141">
        <f>N33/Q33*100</f>
        <v>96.519955815690523</v>
      </c>
      <c r="O35" s="139"/>
      <c r="P35" s="140"/>
      <c r="Q35" s="141">
        <f>Q33/T33*100</f>
        <v>100.31901085591448</v>
      </c>
      <c r="R35" s="139"/>
      <c r="S35" s="140"/>
      <c r="T35" s="141">
        <f>T33/W33*100</f>
        <v>97.798403442831656</v>
      </c>
      <c r="U35" s="139"/>
      <c r="V35" s="140"/>
      <c r="W35" s="141">
        <f>W33/Z33*100</f>
        <v>94.431836270289381</v>
      </c>
      <c r="X35" s="139"/>
      <c r="Y35" s="140"/>
      <c r="Z35" s="141">
        <v>97.253870523424027</v>
      </c>
    </row>
  </sheetData>
  <customSheetViews>
    <customSheetView guid="{501209ED-4B79-4E52-B95E-748E5E77E24F}" scale="85" showPageBreaks="1">
      <pane xSplit="2" ySplit="6" topLeftCell="C7" activePane="bottomRight" state="frozen"/>
      <selection pane="bottomRight" activeCell="H4" sqref="H4"/>
      <pageMargins left="0.59055118110236227" right="0.59055118110236227" top="0.59055118110236227" bottom="0.59055118110236227" header="0.31496062992125984" footer="0.31496062992125984"/>
      <printOptions horizontalCentered="1"/>
      <pageSetup paperSize="9" scale="50" orientation="landscape" r:id="rId1"/>
    </customSheetView>
  </customSheetViews>
  <mergeCells count="41">
    <mergeCell ref="A19:A30"/>
    <mergeCell ref="O11:Q11"/>
    <mergeCell ref="I7:K7"/>
    <mergeCell ref="O12:Q12"/>
    <mergeCell ref="O16:Q16"/>
    <mergeCell ref="C7:E7"/>
    <mergeCell ref="C11:E11"/>
    <mergeCell ref="C12:E12"/>
    <mergeCell ref="C13:E13"/>
    <mergeCell ref="O17:Q17"/>
    <mergeCell ref="O18:Q18"/>
    <mergeCell ref="O15:Q15"/>
    <mergeCell ref="O7:Q7"/>
    <mergeCell ref="B10:B18"/>
    <mergeCell ref="F7:H7"/>
    <mergeCell ref="F11:H11"/>
    <mergeCell ref="F12:H12"/>
    <mergeCell ref="F13:H13"/>
    <mergeCell ref="L7:N7"/>
    <mergeCell ref="L11:N11"/>
    <mergeCell ref="L12:N12"/>
    <mergeCell ref="L13:N13"/>
    <mergeCell ref="I12:K12"/>
    <mergeCell ref="I13:K13"/>
    <mergeCell ref="I11:K11"/>
    <mergeCell ref="R16:T16"/>
    <mergeCell ref="R7:T7"/>
    <mergeCell ref="U16:W16"/>
    <mergeCell ref="X12:Z12"/>
    <mergeCell ref="X16:Z16"/>
    <mergeCell ref="R11:T11"/>
    <mergeCell ref="R15:T15"/>
    <mergeCell ref="U11:W11"/>
    <mergeCell ref="U15:W15"/>
    <mergeCell ref="X11:Z11"/>
    <mergeCell ref="X15:Z15"/>
    <mergeCell ref="R12:T12"/>
    <mergeCell ref="R13:T13"/>
    <mergeCell ref="U7:W7"/>
    <mergeCell ref="X7:Z7"/>
    <mergeCell ref="U12:W12"/>
  </mergeCells>
  <phoneticPr fontId="1"/>
  <conditionalFormatting sqref="F19:H32">
    <cfRule type="containsBlanks" dxfId="19" priority="4">
      <formula>LEN(TRIM(F19))=0</formula>
    </cfRule>
  </conditionalFormatting>
  <conditionalFormatting sqref="H8">
    <cfRule type="containsBlanks" dxfId="18" priority="3">
      <formula>LEN(TRIM(H8))=0</formula>
    </cfRule>
  </conditionalFormatting>
  <conditionalFormatting sqref="C19:E32">
    <cfRule type="containsBlanks" dxfId="17" priority="2">
      <formula>LEN(TRIM(C19))=0</formula>
    </cfRule>
  </conditionalFormatting>
  <conditionalFormatting sqref="E8">
    <cfRule type="containsBlanks" dxfId="16" priority="1">
      <formula>LEN(TRIM(E8))=0</formula>
    </cfRule>
  </conditionalFormatting>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landscape" r:id="rId2"/>
  <ignoredErrors>
    <ignoredError sqref="O33 Q33:R33 T33:U33 W33:X33 Z33"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zoomScaleNormal="100" workbookViewId="0"/>
  </sheetViews>
  <sheetFormatPr defaultColWidth="8.58203125" defaultRowHeight="14.5" x14ac:dyDescent="0.35"/>
  <cols>
    <col min="1" max="1" width="14.33203125" style="1" bestFit="1" customWidth="1"/>
    <col min="2" max="2" width="9.08203125" style="1" customWidth="1"/>
    <col min="3" max="3" width="14" style="4" customWidth="1"/>
    <col min="4" max="4" width="9.08203125" style="1" customWidth="1"/>
    <col min="5" max="5" width="9.08203125" style="4" customWidth="1"/>
    <col min="6" max="6" width="9.08203125" style="1" customWidth="1"/>
    <col min="7" max="7" width="9.08203125" style="4" customWidth="1"/>
    <col min="8" max="9" width="9.08203125" style="1" customWidth="1"/>
    <col min="10" max="11" width="9.08203125" style="2" customWidth="1"/>
    <col min="12" max="15" width="9.08203125" style="1" customWidth="1"/>
    <col min="16" max="16384" width="8.58203125" style="1"/>
  </cols>
  <sheetData>
    <row r="1" spans="1:17" x14ac:dyDescent="0.35">
      <c r="A1" s="432" t="s">
        <v>438</v>
      </c>
    </row>
    <row r="3" spans="1:17" s="253" customFormat="1" ht="18.5" x14ac:dyDescent="0.55000000000000004">
      <c r="A3" s="252" t="s">
        <v>230</v>
      </c>
    </row>
    <row r="4" spans="1:17" s="253" customFormat="1" ht="18.5" x14ac:dyDescent="0.55000000000000004">
      <c r="A4" s="252" t="s">
        <v>273</v>
      </c>
    </row>
    <row r="5" spans="1:17" s="253" customFormat="1" ht="14.5" customHeight="1" x14ac:dyDescent="0.55000000000000004">
      <c r="C5" s="30"/>
      <c r="E5" s="30"/>
      <c r="G5" s="30"/>
    </row>
    <row r="6" spans="1:17" s="255" customFormat="1" x14ac:dyDescent="0.55000000000000004">
      <c r="A6" s="22" t="s">
        <v>1104</v>
      </c>
      <c r="C6" s="21"/>
      <c r="E6" s="21"/>
      <c r="G6" s="21"/>
      <c r="J6" s="254"/>
      <c r="K6" s="254"/>
    </row>
    <row r="7" spans="1:17" s="255" customFormat="1" x14ac:dyDescent="0.55000000000000004">
      <c r="A7" s="22" t="s">
        <v>1105</v>
      </c>
      <c r="C7" s="21"/>
      <c r="E7" s="21"/>
      <c r="G7" s="21"/>
      <c r="J7" s="254"/>
      <c r="K7" s="254"/>
    </row>
    <row r="8" spans="1:17" s="255" customFormat="1" x14ac:dyDescent="0.55000000000000004">
      <c r="A8" s="22" t="s">
        <v>284</v>
      </c>
      <c r="C8" s="21"/>
      <c r="E8" s="21"/>
      <c r="G8" s="21"/>
      <c r="J8" s="254"/>
      <c r="K8" s="254"/>
    </row>
    <row r="9" spans="1:17" s="255" customFormat="1" ht="20.149999999999999" customHeight="1" x14ac:dyDescent="0.55000000000000004">
      <c r="B9" s="661" t="s">
        <v>1113</v>
      </c>
      <c r="C9" s="661"/>
      <c r="D9" s="661" t="s">
        <v>1080</v>
      </c>
      <c r="E9" s="661"/>
      <c r="F9" s="661" t="s">
        <v>314</v>
      </c>
      <c r="G9" s="661"/>
      <c r="H9" s="661" t="s">
        <v>270</v>
      </c>
      <c r="I9" s="661"/>
      <c r="J9" s="661" t="s">
        <v>127</v>
      </c>
      <c r="K9" s="661"/>
      <c r="L9" s="661" t="s">
        <v>2</v>
      </c>
      <c r="M9" s="661"/>
      <c r="N9" s="661" t="s">
        <v>276</v>
      </c>
      <c r="O9" s="661"/>
      <c r="P9" s="661" t="s">
        <v>4</v>
      </c>
      <c r="Q9" s="661"/>
    </row>
    <row r="10" spans="1:17" s="255" customFormat="1" ht="29" x14ac:dyDescent="0.55000000000000004">
      <c r="B10" s="631" t="s">
        <v>274</v>
      </c>
      <c r="C10" s="401" t="s">
        <v>275</v>
      </c>
      <c r="D10" s="605" t="s">
        <v>274</v>
      </c>
      <c r="E10" s="401" t="s">
        <v>275</v>
      </c>
      <c r="F10" s="400" t="s">
        <v>274</v>
      </c>
      <c r="G10" s="401" t="s">
        <v>275</v>
      </c>
      <c r="H10" s="516" t="s">
        <v>274</v>
      </c>
      <c r="I10" s="401" t="s">
        <v>275</v>
      </c>
      <c r="J10" s="400" t="s">
        <v>274</v>
      </c>
      <c r="K10" s="401" t="s">
        <v>275</v>
      </c>
      <c r="L10" s="400" t="s">
        <v>274</v>
      </c>
      <c r="M10" s="401" t="s">
        <v>275</v>
      </c>
      <c r="N10" s="400" t="s">
        <v>274</v>
      </c>
      <c r="O10" s="401" t="s">
        <v>275</v>
      </c>
      <c r="P10" s="400" t="s">
        <v>274</v>
      </c>
      <c r="Q10" s="401" t="s">
        <v>275</v>
      </c>
    </row>
    <row r="11" spans="1:17" s="255" customFormat="1" ht="20.149999999999999" customHeight="1" x14ac:dyDescent="0.55000000000000004">
      <c r="A11" s="274" t="s">
        <v>282</v>
      </c>
      <c r="B11" s="154" t="s">
        <v>281</v>
      </c>
      <c r="C11" s="155">
        <v>60445</v>
      </c>
      <c r="D11" s="154" t="s">
        <v>281</v>
      </c>
      <c r="E11" s="155">
        <v>54564</v>
      </c>
      <c r="F11" s="154" t="s">
        <v>281</v>
      </c>
      <c r="G11" s="155">
        <v>38641</v>
      </c>
      <c r="H11" s="154" t="s">
        <v>281</v>
      </c>
      <c r="I11" s="155">
        <v>34357</v>
      </c>
      <c r="J11" s="154" t="s">
        <v>281</v>
      </c>
      <c r="K11" s="157">
        <v>62370</v>
      </c>
      <c r="L11" s="154" t="s">
        <v>281</v>
      </c>
      <c r="M11" s="157">
        <v>49910</v>
      </c>
      <c r="N11" s="154" t="s">
        <v>281</v>
      </c>
      <c r="O11" s="157">
        <v>69424</v>
      </c>
      <c r="P11" s="154" t="s">
        <v>281</v>
      </c>
      <c r="Q11" s="157">
        <v>66938</v>
      </c>
    </row>
    <row r="12" spans="1:17" s="255" customFormat="1" ht="20.149999999999999" customHeight="1" thickBot="1" x14ac:dyDescent="0.6">
      <c r="A12" s="399" t="s">
        <v>283</v>
      </c>
      <c r="B12" s="162" t="s">
        <v>281</v>
      </c>
      <c r="C12" s="163">
        <v>237870</v>
      </c>
      <c r="D12" s="162" t="s">
        <v>281</v>
      </c>
      <c r="E12" s="163">
        <v>214218</v>
      </c>
      <c r="F12" s="162" t="s">
        <v>281</v>
      </c>
      <c r="G12" s="163">
        <v>146603</v>
      </c>
      <c r="H12" s="162" t="s">
        <v>281</v>
      </c>
      <c r="I12" s="163">
        <v>126769</v>
      </c>
      <c r="J12" s="162" t="s">
        <v>281</v>
      </c>
      <c r="K12" s="164">
        <v>225955</v>
      </c>
      <c r="L12" s="162" t="s">
        <v>281</v>
      </c>
      <c r="M12" s="164">
        <v>227335</v>
      </c>
      <c r="N12" s="162" t="s">
        <v>281</v>
      </c>
      <c r="O12" s="164">
        <v>236597</v>
      </c>
      <c r="P12" s="162" t="s">
        <v>281</v>
      </c>
      <c r="Q12" s="164">
        <v>232693</v>
      </c>
    </row>
    <row r="13" spans="1:17" s="255" customFormat="1" ht="20.149999999999999" customHeight="1" thickTop="1" x14ac:dyDescent="0.55000000000000004">
      <c r="A13" s="403" t="s">
        <v>31</v>
      </c>
      <c r="B13" s="159" t="s">
        <v>1131</v>
      </c>
      <c r="C13" s="160">
        <f>SUM(C11:C12)</f>
        <v>298315</v>
      </c>
      <c r="D13" s="159" t="s">
        <v>1125</v>
      </c>
      <c r="E13" s="160">
        <f>SUM(E11:E12)</f>
        <v>268782</v>
      </c>
      <c r="F13" s="159" t="s">
        <v>1095</v>
      </c>
      <c r="G13" s="160">
        <f>SUM(G11:G12)</f>
        <v>185244</v>
      </c>
      <c r="H13" s="159" t="s">
        <v>277</v>
      </c>
      <c r="I13" s="160">
        <f>SUM(I11:I12)</f>
        <v>161126</v>
      </c>
      <c r="J13" s="159" t="s">
        <v>278</v>
      </c>
      <c r="K13" s="160">
        <f>SUM(K11:K12)</f>
        <v>288325</v>
      </c>
      <c r="L13" s="159" t="s">
        <v>279</v>
      </c>
      <c r="M13" s="160">
        <f>SUM(M11:M12)</f>
        <v>277245</v>
      </c>
      <c r="N13" s="161" t="s">
        <v>280</v>
      </c>
      <c r="O13" s="160">
        <f>SUM(O11:O12)</f>
        <v>306021</v>
      </c>
      <c r="P13" s="161">
        <v>43</v>
      </c>
      <c r="Q13" s="160">
        <f>SUM(Q11:Q12)</f>
        <v>299631</v>
      </c>
    </row>
  </sheetData>
  <customSheetViews>
    <customSheetView guid="{501209ED-4B79-4E52-B95E-748E5E77E24F}">
      <selection activeCell="C13" sqref="C13"/>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8">
    <mergeCell ref="B9:C9"/>
    <mergeCell ref="D9:E9"/>
    <mergeCell ref="P9:Q9"/>
    <mergeCell ref="F9:G9"/>
    <mergeCell ref="N9:O9"/>
    <mergeCell ref="L9:M9"/>
    <mergeCell ref="J9:K9"/>
    <mergeCell ref="H9:I9"/>
  </mergeCells>
  <phoneticPr fontId="1"/>
  <conditionalFormatting sqref="E11:E12 D13">
    <cfRule type="containsBlanks" dxfId="15" priority="2">
      <formula>LEN(TRIM(D11))=0</formula>
    </cfRule>
  </conditionalFormatting>
  <conditionalFormatting sqref="C11:C12 B13">
    <cfRule type="containsBlanks" dxfId="14" priority="1">
      <formula>LEN(TRIM(B11))=0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ignoredErrors>
    <ignoredError sqref="F13 H13 J13 L13 N13"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
  <sheetViews>
    <sheetView zoomScaleNormal="100" workbookViewId="0">
      <pane xSplit="3" ySplit="8" topLeftCell="D9" activePane="bottomRight" state="frozen"/>
      <selection pane="topRight" activeCell="D1" sqref="D1"/>
      <selection pane="bottomLeft" activeCell="A9" sqref="A9"/>
      <selection pane="bottomRight" activeCell="B1" sqref="B1"/>
    </sheetView>
  </sheetViews>
  <sheetFormatPr defaultColWidth="8.58203125" defaultRowHeight="14.5" x14ac:dyDescent="0.35"/>
  <cols>
    <col min="1" max="1" width="3.08203125" style="1" customWidth="1"/>
    <col min="2" max="2" width="16.58203125" style="1" customWidth="1"/>
    <col min="3" max="3" width="6.58203125" style="1" bestFit="1" customWidth="1"/>
    <col min="4" max="4" width="10.58203125" style="1" customWidth="1"/>
    <col min="5" max="5" width="4.83203125" style="3" bestFit="1" customWidth="1"/>
    <col min="6" max="6" width="11.58203125" style="1" customWidth="1"/>
    <col min="7" max="7" width="4.83203125" style="3" bestFit="1" customWidth="1"/>
    <col min="8" max="8" width="9.58203125" style="4" customWidth="1"/>
    <col min="9" max="9" width="4.83203125" style="3" bestFit="1" customWidth="1"/>
    <col min="10" max="10" width="10.58203125" style="1" customWidth="1"/>
    <col min="11" max="11" width="4.83203125" style="3" bestFit="1" customWidth="1"/>
    <col min="12" max="12" width="11.58203125" style="1" customWidth="1"/>
    <col min="13" max="13" width="4.83203125" style="3" bestFit="1" customWidth="1"/>
    <col min="14" max="14" width="9.58203125" style="4" customWidth="1"/>
    <col min="15" max="15" width="4.83203125" style="3" bestFit="1" customWidth="1"/>
    <col min="16" max="16" width="10.58203125" style="1" customWidth="1"/>
    <col min="17" max="17" width="4.83203125" style="3" bestFit="1" customWidth="1"/>
    <col min="18" max="18" width="11.58203125" style="1" customWidth="1"/>
    <col min="19" max="19" width="4.83203125" style="3" bestFit="1" customWidth="1"/>
    <col min="20" max="20" width="9.58203125" style="4" customWidth="1"/>
    <col min="21" max="21" width="4.83203125" style="3" bestFit="1" customWidth="1"/>
    <col min="22" max="22" width="10.58203125" style="1" customWidth="1"/>
    <col min="23" max="23" width="4.83203125" style="3" bestFit="1" customWidth="1"/>
    <col min="24" max="24" width="11.58203125" style="1" customWidth="1"/>
    <col min="25" max="25" width="4.83203125" style="3" bestFit="1" customWidth="1"/>
    <col min="26" max="26" width="9.58203125" style="2" customWidth="1"/>
    <col min="27" max="27" width="4.83203125" style="3" bestFit="1" customWidth="1"/>
    <col min="28" max="28" width="10.58203125" style="2" customWidth="1"/>
    <col min="29" max="29" width="4.83203125" style="3" bestFit="1" customWidth="1"/>
    <col min="30" max="30" width="11.58203125" style="2" customWidth="1"/>
    <col min="31" max="31" width="4.83203125" style="3" bestFit="1" customWidth="1"/>
    <col min="32" max="32" width="9.58203125" style="1" customWidth="1"/>
    <col min="33" max="33" width="4.83203125" style="3" bestFit="1" customWidth="1"/>
    <col min="34" max="34" width="10.58203125" style="1" customWidth="1"/>
    <col min="35" max="35" width="4.83203125" style="3" bestFit="1" customWidth="1"/>
    <col min="36" max="36" width="11.58203125" style="1" customWidth="1"/>
    <col min="37" max="37" width="4.83203125" style="3" bestFit="1" customWidth="1"/>
    <col min="38" max="38" width="9.58203125" style="1" customWidth="1"/>
    <col min="39" max="39" width="4.83203125" style="3" bestFit="1" customWidth="1"/>
    <col min="40" max="40" width="10.58203125" style="1" customWidth="1"/>
    <col min="41" max="41" width="4.83203125" style="3" bestFit="1" customWidth="1"/>
    <col min="42" max="42" width="11.58203125" style="1" customWidth="1"/>
    <col min="43" max="43" width="4.83203125" style="3" bestFit="1" customWidth="1"/>
    <col min="44" max="44" width="9.58203125" style="1" customWidth="1"/>
    <col min="45" max="45" width="4.83203125" style="3" bestFit="1" customWidth="1"/>
    <col min="46" max="46" width="10.5" style="1" bestFit="1" customWidth="1"/>
    <col min="47" max="47" width="8.58203125" style="1"/>
    <col min="48" max="48" width="11.58203125" style="1" bestFit="1" customWidth="1"/>
    <col min="49" max="16384" width="8.58203125" style="1"/>
  </cols>
  <sheetData>
    <row r="1" spans="1:51" x14ac:dyDescent="0.35">
      <c r="A1" s="432" t="s">
        <v>438</v>
      </c>
      <c r="B1" s="432"/>
    </row>
    <row r="3" spans="1:51" s="8" customFormat="1" ht="20.149999999999999" customHeight="1" x14ac:dyDescent="0.45">
      <c r="A3" s="6" t="s">
        <v>230</v>
      </c>
      <c r="B3" s="6"/>
      <c r="E3" s="3"/>
      <c r="G3" s="3"/>
      <c r="I3" s="3"/>
      <c r="K3" s="3"/>
      <c r="M3" s="3"/>
      <c r="O3" s="3"/>
      <c r="Q3" s="3"/>
      <c r="S3" s="3"/>
      <c r="U3" s="3"/>
      <c r="W3" s="3"/>
      <c r="Y3" s="3"/>
      <c r="AA3" s="3"/>
      <c r="AC3" s="3"/>
      <c r="AE3" s="3"/>
      <c r="AG3" s="3"/>
      <c r="AI3" s="3"/>
      <c r="AK3" s="3"/>
      <c r="AM3" s="3"/>
      <c r="AO3" s="3"/>
      <c r="AQ3" s="3"/>
      <c r="AS3" s="3"/>
    </row>
    <row r="4" spans="1:51" s="8" customFormat="1" ht="20.149999999999999" customHeight="1" x14ac:dyDescent="0.45">
      <c r="A4" s="6" t="s">
        <v>431</v>
      </c>
      <c r="B4" s="6"/>
      <c r="E4" s="3"/>
      <c r="G4" s="3"/>
      <c r="I4" s="3"/>
      <c r="K4" s="3"/>
      <c r="M4" s="3"/>
      <c r="O4" s="3"/>
      <c r="Q4" s="3"/>
      <c r="S4" s="3"/>
      <c r="U4" s="3"/>
      <c r="W4" s="3"/>
      <c r="Y4" s="3"/>
      <c r="AA4" s="3"/>
      <c r="AC4" s="3"/>
      <c r="AE4" s="3"/>
      <c r="AG4" s="3"/>
      <c r="AI4" s="3"/>
      <c r="AK4" s="3"/>
      <c r="AM4" s="3"/>
      <c r="AO4" s="3"/>
      <c r="AQ4" s="3"/>
      <c r="AS4" s="3"/>
    </row>
    <row r="5" spans="1:51" s="8" customFormat="1" ht="14.5" customHeight="1" x14ac:dyDescent="0.35">
      <c r="E5" s="3"/>
      <c r="G5" s="3"/>
      <c r="H5" s="3"/>
      <c r="I5" s="3"/>
      <c r="K5" s="3"/>
      <c r="M5" s="3"/>
      <c r="N5" s="3"/>
      <c r="O5" s="3"/>
      <c r="Q5" s="3"/>
      <c r="S5" s="3"/>
      <c r="T5" s="3"/>
      <c r="U5" s="3"/>
      <c r="W5" s="3"/>
      <c r="Y5" s="3"/>
      <c r="AA5" s="3"/>
      <c r="AC5" s="3"/>
      <c r="AE5" s="3"/>
      <c r="AG5" s="3"/>
      <c r="AI5" s="3"/>
      <c r="AK5" s="3"/>
      <c r="AM5" s="3"/>
      <c r="AO5" s="3"/>
      <c r="AQ5" s="3"/>
      <c r="AS5" s="3"/>
    </row>
    <row r="6" spans="1:51" x14ac:dyDescent="0.35">
      <c r="A6" s="5" t="s">
        <v>285</v>
      </c>
      <c r="B6" s="5"/>
    </row>
    <row r="8" spans="1:51" s="255" customFormat="1" ht="20.149999999999999" customHeight="1" x14ac:dyDescent="0.55000000000000004">
      <c r="D8" s="661" t="s">
        <v>1113</v>
      </c>
      <c r="E8" s="661"/>
      <c r="F8" s="661"/>
      <c r="G8" s="661"/>
      <c r="H8" s="661"/>
      <c r="I8" s="661"/>
      <c r="J8" s="661" t="s">
        <v>1080</v>
      </c>
      <c r="K8" s="661"/>
      <c r="L8" s="661"/>
      <c r="M8" s="661"/>
      <c r="N8" s="661"/>
      <c r="O8" s="661"/>
      <c r="P8" s="661" t="s">
        <v>314</v>
      </c>
      <c r="Q8" s="661"/>
      <c r="R8" s="661"/>
      <c r="S8" s="661"/>
      <c r="T8" s="661"/>
      <c r="U8" s="661"/>
      <c r="V8" s="661" t="s">
        <v>270</v>
      </c>
      <c r="W8" s="661"/>
      <c r="X8" s="661"/>
      <c r="Y8" s="661"/>
      <c r="Z8" s="661"/>
      <c r="AA8" s="661"/>
      <c r="AB8" s="661" t="s">
        <v>127</v>
      </c>
      <c r="AC8" s="661"/>
      <c r="AD8" s="661"/>
      <c r="AE8" s="661"/>
      <c r="AF8" s="661"/>
      <c r="AG8" s="661"/>
      <c r="AH8" s="661" t="s">
        <v>2</v>
      </c>
      <c r="AI8" s="661"/>
      <c r="AJ8" s="661"/>
      <c r="AK8" s="661"/>
      <c r="AL8" s="661"/>
      <c r="AM8" s="661"/>
      <c r="AN8" s="661" t="s">
        <v>276</v>
      </c>
      <c r="AO8" s="661"/>
      <c r="AP8" s="661"/>
      <c r="AQ8" s="661"/>
      <c r="AR8" s="661"/>
      <c r="AS8" s="661"/>
      <c r="AT8" s="661" t="s">
        <v>271</v>
      </c>
      <c r="AU8" s="661"/>
      <c r="AV8" s="661"/>
      <c r="AW8" s="661"/>
      <c r="AX8" s="661"/>
      <c r="AY8" s="661"/>
    </row>
    <row r="9" spans="1:51" ht="20.149999999999999" customHeight="1" x14ac:dyDescent="0.3">
      <c r="D9" s="747" t="s">
        <v>305</v>
      </c>
      <c r="E9" s="747"/>
      <c r="F9" s="747" t="s">
        <v>306</v>
      </c>
      <c r="G9" s="747"/>
      <c r="H9" s="747" t="s">
        <v>31</v>
      </c>
      <c r="I9" s="747"/>
      <c r="J9" s="747" t="s">
        <v>305</v>
      </c>
      <c r="K9" s="747"/>
      <c r="L9" s="747" t="s">
        <v>306</v>
      </c>
      <c r="M9" s="747"/>
      <c r="N9" s="747" t="s">
        <v>31</v>
      </c>
      <c r="O9" s="747"/>
      <c r="P9" s="747" t="s">
        <v>305</v>
      </c>
      <c r="Q9" s="747"/>
      <c r="R9" s="747" t="s">
        <v>306</v>
      </c>
      <c r="S9" s="747"/>
      <c r="T9" s="747" t="s">
        <v>31</v>
      </c>
      <c r="U9" s="747"/>
      <c r="V9" s="747" t="s">
        <v>305</v>
      </c>
      <c r="W9" s="747"/>
      <c r="X9" s="747" t="s">
        <v>306</v>
      </c>
      <c r="Y9" s="747"/>
      <c r="Z9" s="747" t="s">
        <v>31</v>
      </c>
      <c r="AA9" s="747"/>
      <c r="AB9" s="747" t="s">
        <v>305</v>
      </c>
      <c r="AC9" s="747"/>
      <c r="AD9" s="747" t="s">
        <v>306</v>
      </c>
      <c r="AE9" s="747"/>
      <c r="AF9" s="747" t="s">
        <v>31</v>
      </c>
      <c r="AG9" s="747"/>
      <c r="AH9" s="747" t="s">
        <v>305</v>
      </c>
      <c r="AI9" s="747"/>
      <c r="AJ9" s="747" t="s">
        <v>306</v>
      </c>
      <c r="AK9" s="747"/>
      <c r="AL9" s="747" t="s">
        <v>31</v>
      </c>
      <c r="AM9" s="747"/>
      <c r="AN9" s="747" t="s">
        <v>305</v>
      </c>
      <c r="AO9" s="747"/>
      <c r="AP9" s="747" t="s">
        <v>306</v>
      </c>
      <c r="AQ9" s="747"/>
      <c r="AR9" s="747" t="s">
        <v>31</v>
      </c>
      <c r="AS9" s="747"/>
      <c r="AT9" s="747" t="s">
        <v>305</v>
      </c>
      <c r="AU9" s="747"/>
      <c r="AV9" s="747" t="s">
        <v>306</v>
      </c>
      <c r="AW9" s="747"/>
      <c r="AX9" s="747" t="s">
        <v>31</v>
      </c>
      <c r="AY9" s="747"/>
    </row>
    <row r="10" spans="1:51" ht="29.15" customHeight="1" x14ac:dyDescent="0.3">
      <c r="A10" s="754" t="s">
        <v>286</v>
      </c>
      <c r="B10" s="755"/>
      <c r="C10" s="169"/>
      <c r="D10" s="174">
        <v>2296</v>
      </c>
      <c r="E10" s="536" t="s">
        <v>307</v>
      </c>
      <c r="F10" s="107">
        <v>573</v>
      </c>
      <c r="G10" s="536" t="s">
        <v>307</v>
      </c>
      <c r="H10" s="152">
        <f>D10+F10</f>
        <v>2869</v>
      </c>
      <c r="I10" s="186" t="s">
        <v>307</v>
      </c>
      <c r="J10" s="174">
        <v>2302</v>
      </c>
      <c r="K10" s="536" t="s">
        <v>307</v>
      </c>
      <c r="L10" s="107">
        <v>574</v>
      </c>
      <c r="M10" s="536" t="s">
        <v>307</v>
      </c>
      <c r="N10" s="152">
        <f>J10+L10</f>
        <v>2876</v>
      </c>
      <c r="O10" s="186" t="s">
        <v>307</v>
      </c>
      <c r="P10" s="174">
        <v>2288</v>
      </c>
      <c r="Q10" s="536" t="s">
        <v>302</v>
      </c>
      <c r="R10" s="107">
        <v>591</v>
      </c>
      <c r="S10" s="536" t="s">
        <v>302</v>
      </c>
      <c r="T10" s="152">
        <f>P10+R10</f>
        <v>2879</v>
      </c>
      <c r="U10" s="186" t="s">
        <v>302</v>
      </c>
      <c r="V10" s="174">
        <v>2247</v>
      </c>
      <c r="W10" s="182" t="s">
        <v>307</v>
      </c>
      <c r="X10" s="107">
        <v>570</v>
      </c>
      <c r="Y10" s="182" t="s">
        <v>307</v>
      </c>
      <c r="Z10" s="152">
        <f>V10+X10</f>
        <v>2817</v>
      </c>
      <c r="AA10" s="186" t="s">
        <v>307</v>
      </c>
      <c r="AB10" s="180">
        <v>2209</v>
      </c>
      <c r="AC10" s="182" t="s">
        <v>307</v>
      </c>
      <c r="AD10" s="152">
        <v>575</v>
      </c>
      <c r="AE10" s="182" t="s">
        <v>307</v>
      </c>
      <c r="AF10" s="152">
        <f>AB10+AD10</f>
        <v>2784</v>
      </c>
      <c r="AG10" s="186" t="s">
        <v>307</v>
      </c>
      <c r="AH10" s="180">
        <v>2194</v>
      </c>
      <c r="AI10" s="182" t="s">
        <v>307</v>
      </c>
      <c r="AJ10" s="152">
        <v>569</v>
      </c>
      <c r="AK10" s="182" t="s">
        <v>307</v>
      </c>
      <c r="AL10" s="152">
        <f>AH10+AJ10</f>
        <v>2763</v>
      </c>
      <c r="AM10" s="186" t="s">
        <v>307</v>
      </c>
      <c r="AN10" s="180">
        <v>2142</v>
      </c>
      <c r="AO10" s="182" t="s">
        <v>307</v>
      </c>
      <c r="AP10" s="152">
        <v>556</v>
      </c>
      <c r="AQ10" s="182" t="s">
        <v>307</v>
      </c>
      <c r="AR10" s="152">
        <f>AN10+AP10</f>
        <v>2698</v>
      </c>
      <c r="AS10" s="186" t="s">
        <v>307</v>
      </c>
      <c r="AT10" s="180">
        <v>2114</v>
      </c>
      <c r="AU10" s="182" t="s">
        <v>307</v>
      </c>
      <c r="AV10" s="152">
        <v>545</v>
      </c>
      <c r="AW10" s="182" t="s">
        <v>307</v>
      </c>
      <c r="AX10" s="152">
        <f>AT10+AV10</f>
        <v>2659</v>
      </c>
      <c r="AY10" s="186" t="s">
        <v>307</v>
      </c>
    </row>
    <row r="11" spans="1:51" ht="29.15" customHeight="1" x14ac:dyDescent="0.3">
      <c r="A11" s="189"/>
      <c r="B11" s="756" t="s">
        <v>287</v>
      </c>
      <c r="C11" s="757"/>
      <c r="D11" s="175"/>
      <c r="E11" s="183"/>
      <c r="F11" s="153"/>
      <c r="G11" s="183"/>
      <c r="H11" s="101">
        <v>2380</v>
      </c>
      <c r="I11" s="187" t="s">
        <v>307</v>
      </c>
      <c r="J11" s="175"/>
      <c r="K11" s="183"/>
      <c r="L11" s="153"/>
      <c r="M11" s="183"/>
      <c r="N11" s="101">
        <v>2373</v>
      </c>
      <c r="O11" s="187" t="s">
        <v>307</v>
      </c>
      <c r="P11" s="175"/>
      <c r="Q11" s="183"/>
      <c r="R11" s="153"/>
      <c r="S11" s="183"/>
      <c r="T11" s="101">
        <v>2366</v>
      </c>
      <c r="U11" s="187" t="s">
        <v>302</v>
      </c>
      <c r="V11" s="175" t="s">
        <v>1081</v>
      </c>
      <c r="W11" s="183"/>
      <c r="X11" s="153" t="s">
        <v>1081</v>
      </c>
      <c r="Y11" s="183"/>
      <c r="Z11" s="101">
        <v>2325</v>
      </c>
      <c r="AA11" s="187" t="s">
        <v>307</v>
      </c>
      <c r="AB11" s="175" t="s">
        <v>310</v>
      </c>
      <c r="AC11" s="183"/>
      <c r="AD11" s="153" t="s">
        <v>310</v>
      </c>
      <c r="AE11" s="183"/>
      <c r="AF11" s="153">
        <v>2289</v>
      </c>
      <c r="AG11" s="187" t="s">
        <v>307</v>
      </c>
      <c r="AH11" s="175" t="s">
        <v>310</v>
      </c>
      <c r="AI11" s="183"/>
      <c r="AJ11" s="166" t="s">
        <v>310</v>
      </c>
      <c r="AK11" s="183"/>
      <c r="AL11" s="153">
        <v>2277</v>
      </c>
      <c r="AM11" s="187" t="s">
        <v>307</v>
      </c>
      <c r="AN11" s="175" t="s">
        <v>310</v>
      </c>
      <c r="AO11" s="183"/>
      <c r="AP11" s="166" t="s">
        <v>310</v>
      </c>
      <c r="AQ11" s="183"/>
      <c r="AR11" s="153">
        <v>2224</v>
      </c>
      <c r="AS11" s="187" t="s">
        <v>307</v>
      </c>
      <c r="AT11" s="175" t="s">
        <v>310</v>
      </c>
      <c r="AU11" s="183"/>
      <c r="AV11" s="166" t="s">
        <v>310</v>
      </c>
      <c r="AW11" s="183"/>
      <c r="AX11" s="153">
        <v>2194</v>
      </c>
      <c r="AY11" s="187" t="s">
        <v>307</v>
      </c>
    </row>
    <row r="12" spans="1:51" ht="29.15" customHeight="1" x14ac:dyDescent="0.3">
      <c r="A12" s="170" t="s">
        <v>288</v>
      </c>
      <c r="B12" s="167"/>
      <c r="C12" s="171" t="s">
        <v>295</v>
      </c>
      <c r="D12" s="176">
        <v>20259464</v>
      </c>
      <c r="E12" s="183" t="s">
        <v>308</v>
      </c>
      <c r="F12" s="101">
        <v>807150501</v>
      </c>
      <c r="G12" s="183" t="s">
        <v>309</v>
      </c>
      <c r="H12" s="166" t="s">
        <v>1081</v>
      </c>
      <c r="I12" s="187"/>
      <c r="J12" s="176">
        <v>19863478</v>
      </c>
      <c r="K12" s="183" t="s">
        <v>308</v>
      </c>
      <c r="L12" s="101">
        <v>781500501</v>
      </c>
      <c r="M12" s="183" t="s">
        <v>309</v>
      </c>
      <c r="N12" s="166" t="s">
        <v>1081</v>
      </c>
      <c r="O12" s="187"/>
      <c r="P12" s="176">
        <v>20022920</v>
      </c>
      <c r="Q12" s="183" t="s">
        <v>303</v>
      </c>
      <c r="R12" s="101">
        <v>784736349</v>
      </c>
      <c r="S12" s="183" t="s">
        <v>304</v>
      </c>
      <c r="T12" s="166" t="s">
        <v>310</v>
      </c>
      <c r="U12" s="187"/>
      <c r="V12" s="176">
        <v>19383986</v>
      </c>
      <c r="W12" s="183" t="s">
        <v>308</v>
      </c>
      <c r="X12" s="101">
        <v>775877188</v>
      </c>
      <c r="Y12" s="183" t="s">
        <v>309</v>
      </c>
      <c r="Z12" s="166" t="s">
        <v>1081</v>
      </c>
      <c r="AA12" s="187"/>
      <c r="AB12" s="177">
        <v>19055819</v>
      </c>
      <c r="AC12" s="183" t="s">
        <v>308</v>
      </c>
      <c r="AD12" s="153">
        <v>778304430</v>
      </c>
      <c r="AE12" s="183" t="s">
        <v>309</v>
      </c>
      <c r="AF12" s="166" t="s">
        <v>310</v>
      </c>
      <c r="AG12" s="187"/>
      <c r="AH12" s="177">
        <v>19010300</v>
      </c>
      <c r="AI12" s="183" t="s">
        <v>308</v>
      </c>
      <c r="AJ12" s="153">
        <v>768240048</v>
      </c>
      <c r="AK12" s="183" t="s">
        <v>309</v>
      </c>
      <c r="AL12" s="166" t="s">
        <v>310</v>
      </c>
      <c r="AM12" s="187"/>
      <c r="AN12" s="177">
        <v>18534794</v>
      </c>
      <c r="AO12" s="183" t="s">
        <v>308</v>
      </c>
      <c r="AP12" s="153">
        <v>757953467</v>
      </c>
      <c r="AQ12" s="183" t="s">
        <v>309</v>
      </c>
      <c r="AR12" s="166" t="s">
        <v>310</v>
      </c>
      <c r="AS12" s="187"/>
      <c r="AT12" s="177">
        <v>18261979</v>
      </c>
      <c r="AU12" s="183" t="s">
        <v>308</v>
      </c>
      <c r="AV12" s="153">
        <v>759626883</v>
      </c>
      <c r="AW12" s="183" t="s">
        <v>309</v>
      </c>
      <c r="AX12" s="166" t="s">
        <v>310</v>
      </c>
      <c r="AY12" s="187"/>
    </row>
    <row r="13" spans="1:51" ht="29.15" customHeight="1" x14ac:dyDescent="0.3">
      <c r="A13" s="170" t="s">
        <v>289</v>
      </c>
      <c r="B13" s="167"/>
      <c r="C13" s="171" t="s">
        <v>290</v>
      </c>
      <c r="D13" s="176">
        <v>2932294</v>
      </c>
      <c r="E13" s="183" t="s">
        <v>308</v>
      </c>
      <c r="F13" s="101">
        <v>55503015</v>
      </c>
      <c r="G13" s="183" t="s">
        <v>309</v>
      </c>
      <c r="H13" s="166" t="s">
        <v>1081</v>
      </c>
      <c r="I13" s="187"/>
      <c r="J13" s="176">
        <v>2829581</v>
      </c>
      <c r="K13" s="183" t="s">
        <v>308</v>
      </c>
      <c r="L13" s="101">
        <v>54993912</v>
      </c>
      <c r="M13" s="183" t="s">
        <v>309</v>
      </c>
      <c r="N13" s="166" t="s">
        <v>1081</v>
      </c>
      <c r="O13" s="187"/>
      <c r="P13" s="176">
        <v>2771257</v>
      </c>
      <c r="Q13" s="183" t="s">
        <v>303</v>
      </c>
      <c r="R13" s="101">
        <v>60842123</v>
      </c>
      <c r="S13" s="183" t="s">
        <v>304</v>
      </c>
      <c r="T13" s="166" t="s">
        <v>310</v>
      </c>
      <c r="U13" s="187"/>
      <c r="V13" s="176">
        <v>2693290</v>
      </c>
      <c r="W13" s="183" t="s">
        <v>308</v>
      </c>
      <c r="X13" s="101">
        <v>59644800</v>
      </c>
      <c r="Y13" s="183" t="s">
        <v>309</v>
      </c>
      <c r="Z13" s="166" t="s">
        <v>1081</v>
      </c>
      <c r="AA13" s="187"/>
      <c r="AB13" s="177">
        <v>2682986</v>
      </c>
      <c r="AC13" s="183" t="s">
        <v>308</v>
      </c>
      <c r="AD13" s="153">
        <v>61192317</v>
      </c>
      <c r="AE13" s="183" t="s">
        <v>309</v>
      </c>
      <c r="AF13" s="166" t="s">
        <v>310</v>
      </c>
      <c r="AG13" s="187"/>
      <c r="AH13" s="177">
        <v>2793527</v>
      </c>
      <c r="AI13" s="183" t="s">
        <v>308</v>
      </c>
      <c r="AJ13" s="153">
        <v>59785146</v>
      </c>
      <c r="AK13" s="183" t="s">
        <v>309</v>
      </c>
      <c r="AL13" s="166" t="s">
        <v>310</v>
      </c>
      <c r="AM13" s="187"/>
      <c r="AN13" s="177">
        <v>2707617</v>
      </c>
      <c r="AO13" s="183" t="s">
        <v>308</v>
      </c>
      <c r="AP13" s="153">
        <v>57529459</v>
      </c>
      <c r="AQ13" s="183" t="s">
        <v>309</v>
      </c>
      <c r="AR13" s="166" t="s">
        <v>310</v>
      </c>
      <c r="AS13" s="187"/>
      <c r="AT13" s="177">
        <v>2671269</v>
      </c>
      <c r="AU13" s="183" t="s">
        <v>308</v>
      </c>
      <c r="AV13" s="153">
        <v>57210285</v>
      </c>
      <c r="AW13" s="183" t="s">
        <v>309</v>
      </c>
      <c r="AX13" s="166" t="s">
        <v>310</v>
      </c>
      <c r="AY13" s="187"/>
    </row>
    <row r="14" spans="1:51" ht="29.15" customHeight="1" x14ac:dyDescent="0.3">
      <c r="A14" s="750" t="s">
        <v>291</v>
      </c>
      <c r="B14" s="751"/>
      <c r="C14" s="171" t="s">
        <v>296</v>
      </c>
      <c r="D14" s="176">
        <v>3397638</v>
      </c>
      <c r="E14" s="183" t="s">
        <v>308</v>
      </c>
      <c r="F14" s="101">
        <v>15239865</v>
      </c>
      <c r="G14" s="183" t="s">
        <v>309</v>
      </c>
      <c r="H14" s="166" t="s">
        <v>1081</v>
      </c>
      <c r="I14" s="187"/>
      <c r="J14" s="176">
        <v>3318120</v>
      </c>
      <c r="K14" s="183" t="s">
        <v>308</v>
      </c>
      <c r="L14" s="101">
        <v>15169844</v>
      </c>
      <c r="M14" s="183" t="s">
        <v>309</v>
      </c>
      <c r="N14" s="166" t="s">
        <v>1081</v>
      </c>
      <c r="O14" s="187"/>
      <c r="P14" s="176">
        <v>3582393</v>
      </c>
      <c r="Q14" s="183" t="s">
        <v>303</v>
      </c>
      <c r="R14" s="101">
        <v>15975720</v>
      </c>
      <c r="S14" s="183" t="s">
        <v>304</v>
      </c>
      <c r="T14" s="166" t="s">
        <v>310</v>
      </c>
      <c r="U14" s="187"/>
      <c r="V14" s="176">
        <v>3263361</v>
      </c>
      <c r="W14" s="183" t="s">
        <v>308</v>
      </c>
      <c r="X14" s="101">
        <v>14475694</v>
      </c>
      <c r="Y14" s="183" t="s">
        <v>309</v>
      </c>
      <c r="Z14" s="166" t="s">
        <v>1081</v>
      </c>
      <c r="AA14" s="187"/>
      <c r="AB14" s="177">
        <v>3095119</v>
      </c>
      <c r="AC14" s="183" t="s">
        <v>308</v>
      </c>
      <c r="AD14" s="153">
        <v>15698863</v>
      </c>
      <c r="AE14" s="183" t="s">
        <v>309</v>
      </c>
      <c r="AF14" s="166" t="s">
        <v>310</v>
      </c>
      <c r="AG14" s="187"/>
      <c r="AH14" s="177">
        <v>3084460</v>
      </c>
      <c r="AI14" s="183" t="s">
        <v>308</v>
      </c>
      <c r="AJ14" s="153">
        <v>16463011</v>
      </c>
      <c r="AK14" s="183" t="s">
        <v>309</v>
      </c>
      <c r="AL14" s="166" t="s">
        <v>310</v>
      </c>
      <c r="AM14" s="187"/>
      <c r="AN14" s="177">
        <v>3018006</v>
      </c>
      <c r="AO14" s="183" t="s">
        <v>308</v>
      </c>
      <c r="AP14" s="153">
        <v>15570852</v>
      </c>
      <c r="AQ14" s="183" t="s">
        <v>309</v>
      </c>
      <c r="AR14" s="166" t="s">
        <v>310</v>
      </c>
      <c r="AS14" s="187"/>
      <c r="AT14" s="177">
        <v>2962600</v>
      </c>
      <c r="AU14" s="183" t="s">
        <v>308</v>
      </c>
      <c r="AV14" s="153">
        <v>19779967</v>
      </c>
      <c r="AW14" s="183" t="s">
        <v>309</v>
      </c>
      <c r="AX14" s="166" t="s">
        <v>310</v>
      </c>
      <c r="AY14" s="187"/>
    </row>
    <row r="15" spans="1:51" ht="29.15" customHeight="1" x14ac:dyDescent="0.3">
      <c r="A15" s="748" t="s">
        <v>292</v>
      </c>
      <c r="B15" s="749"/>
      <c r="C15" s="171" t="s">
        <v>297</v>
      </c>
      <c r="D15" s="176">
        <v>656428</v>
      </c>
      <c r="E15" s="183" t="s">
        <v>308</v>
      </c>
      <c r="F15" s="101">
        <v>7492946</v>
      </c>
      <c r="G15" s="183" t="s">
        <v>309</v>
      </c>
      <c r="H15" s="166" t="s">
        <v>1081</v>
      </c>
      <c r="I15" s="187"/>
      <c r="J15" s="176">
        <v>649777</v>
      </c>
      <c r="K15" s="183" t="s">
        <v>308</v>
      </c>
      <c r="L15" s="101">
        <v>7437519</v>
      </c>
      <c r="M15" s="183" t="s">
        <v>309</v>
      </c>
      <c r="N15" s="166" t="s">
        <v>1081</v>
      </c>
      <c r="O15" s="187"/>
      <c r="P15" s="176">
        <v>716384</v>
      </c>
      <c r="Q15" s="183" t="s">
        <v>303</v>
      </c>
      <c r="R15" s="101">
        <v>8785867</v>
      </c>
      <c r="S15" s="183" t="s">
        <v>304</v>
      </c>
      <c r="T15" s="166" t="s">
        <v>310</v>
      </c>
      <c r="U15" s="187"/>
      <c r="V15" s="176">
        <v>645093</v>
      </c>
      <c r="W15" s="183" t="s">
        <v>308</v>
      </c>
      <c r="X15" s="101">
        <v>6708510</v>
      </c>
      <c r="Y15" s="183" t="s">
        <v>309</v>
      </c>
      <c r="Z15" s="166" t="s">
        <v>1081</v>
      </c>
      <c r="AA15" s="187"/>
      <c r="AB15" s="177">
        <v>582799</v>
      </c>
      <c r="AC15" s="183" t="s">
        <v>308</v>
      </c>
      <c r="AD15" s="153">
        <v>7066968</v>
      </c>
      <c r="AE15" s="183" t="s">
        <v>309</v>
      </c>
      <c r="AF15" s="166" t="s">
        <v>310</v>
      </c>
      <c r="AG15" s="187"/>
      <c r="AH15" s="177">
        <v>520979</v>
      </c>
      <c r="AI15" s="183" t="s">
        <v>308</v>
      </c>
      <c r="AJ15" s="153">
        <v>8398425</v>
      </c>
      <c r="AK15" s="183" t="s">
        <v>309</v>
      </c>
      <c r="AL15" s="166" t="s">
        <v>310</v>
      </c>
      <c r="AM15" s="187"/>
      <c r="AN15" s="177">
        <v>520284</v>
      </c>
      <c r="AO15" s="183" t="s">
        <v>308</v>
      </c>
      <c r="AP15" s="153">
        <v>7792033</v>
      </c>
      <c r="AQ15" s="183" t="s">
        <v>309</v>
      </c>
      <c r="AR15" s="166" t="s">
        <v>310</v>
      </c>
      <c r="AS15" s="187"/>
      <c r="AT15" s="177">
        <v>492206</v>
      </c>
      <c r="AU15" s="183" t="s">
        <v>308</v>
      </c>
      <c r="AV15" s="153">
        <v>6424836</v>
      </c>
      <c r="AW15" s="183" t="s">
        <v>309</v>
      </c>
      <c r="AX15" s="166" t="s">
        <v>310</v>
      </c>
      <c r="AY15" s="187"/>
    </row>
    <row r="16" spans="1:51" ht="29.15" customHeight="1" x14ac:dyDescent="0.3">
      <c r="A16" s="750" t="s">
        <v>299</v>
      </c>
      <c r="B16" s="751"/>
      <c r="C16" s="171" t="s">
        <v>298</v>
      </c>
      <c r="D16" s="153">
        <f>D12-D13-D14-D15</f>
        <v>13273104</v>
      </c>
      <c r="E16" s="183" t="s">
        <v>308</v>
      </c>
      <c r="F16" s="153">
        <f>F12-F13-F14-F15</f>
        <v>728914675</v>
      </c>
      <c r="G16" s="183" t="s">
        <v>309</v>
      </c>
      <c r="H16" s="166" t="s">
        <v>1081</v>
      </c>
      <c r="I16" s="187"/>
      <c r="J16" s="177">
        <v>13066000</v>
      </c>
      <c r="K16" s="183" t="s">
        <v>308</v>
      </c>
      <c r="L16" s="153">
        <v>703899226</v>
      </c>
      <c r="M16" s="183" t="s">
        <v>309</v>
      </c>
      <c r="N16" s="166" t="s">
        <v>1081</v>
      </c>
      <c r="O16" s="187"/>
      <c r="P16" s="177">
        <v>12952886</v>
      </c>
      <c r="Q16" s="183" t="s">
        <v>303</v>
      </c>
      <c r="R16" s="153">
        <v>699132639</v>
      </c>
      <c r="S16" s="183" t="s">
        <v>304</v>
      </c>
      <c r="T16" s="166" t="s">
        <v>310</v>
      </c>
      <c r="U16" s="187"/>
      <c r="V16" s="177">
        <v>12782242</v>
      </c>
      <c r="W16" s="183" t="s">
        <v>308</v>
      </c>
      <c r="X16" s="153">
        <v>695048184</v>
      </c>
      <c r="Y16" s="183" t="s">
        <v>309</v>
      </c>
      <c r="Z16" s="166" t="s">
        <v>1081</v>
      </c>
      <c r="AA16" s="187"/>
      <c r="AB16" s="177">
        <v>12694915</v>
      </c>
      <c r="AC16" s="183" t="s">
        <v>308</v>
      </c>
      <c r="AD16" s="153">
        <v>694346282</v>
      </c>
      <c r="AE16" s="183" t="s">
        <v>309</v>
      </c>
      <c r="AF16" s="166" t="s">
        <v>310</v>
      </c>
      <c r="AG16" s="187"/>
      <c r="AH16" s="177">
        <v>12611334</v>
      </c>
      <c r="AI16" s="183" t="s">
        <v>308</v>
      </c>
      <c r="AJ16" s="153">
        <v>683593466</v>
      </c>
      <c r="AK16" s="183" t="s">
        <v>309</v>
      </c>
      <c r="AL16" s="166" t="s">
        <v>310</v>
      </c>
      <c r="AM16" s="187"/>
      <c r="AN16" s="177">
        <v>12288887</v>
      </c>
      <c r="AO16" s="183" t="s">
        <v>308</v>
      </c>
      <c r="AP16" s="153">
        <v>677061123</v>
      </c>
      <c r="AQ16" s="183" t="s">
        <v>309</v>
      </c>
      <c r="AR16" s="166" t="s">
        <v>310</v>
      </c>
      <c r="AS16" s="187"/>
      <c r="AT16" s="177">
        <v>12135904</v>
      </c>
      <c r="AU16" s="183" t="s">
        <v>308</v>
      </c>
      <c r="AV16" s="153">
        <v>676211795</v>
      </c>
      <c r="AW16" s="183" t="s">
        <v>309</v>
      </c>
      <c r="AX16" s="166" t="s">
        <v>310</v>
      </c>
      <c r="AY16" s="187"/>
    </row>
    <row r="17" spans="1:51" ht="29.15" customHeight="1" x14ac:dyDescent="0.3">
      <c r="A17" s="748" t="s">
        <v>293</v>
      </c>
      <c r="B17" s="749"/>
      <c r="C17" s="172" t="s">
        <v>300</v>
      </c>
      <c r="D17" s="176">
        <v>7963514</v>
      </c>
      <c r="E17" s="183" t="s">
        <v>309</v>
      </c>
      <c r="F17" s="101">
        <v>1822257</v>
      </c>
      <c r="G17" s="183" t="s">
        <v>309</v>
      </c>
      <c r="H17" s="153">
        <f>SUM(D17:F17)</f>
        <v>9785771</v>
      </c>
      <c r="I17" s="187" t="s">
        <v>309</v>
      </c>
      <c r="J17" s="176">
        <v>7838068</v>
      </c>
      <c r="K17" s="183" t="s">
        <v>309</v>
      </c>
      <c r="L17" s="101">
        <v>1759718</v>
      </c>
      <c r="M17" s="183" t="s">
        <v>309</v>
      </c>
      <c r="N17" s="153">
        <f>SUM(J17:L17)</f>
        <v>9597786</v>
      </c>
      <c r="O17" s="187" t="s">
        <v>309</v>
      </c>
      <c r="P17" s="176">
        <v>7771702</v>
      </c>
      <c r="Q17" s="183" t="s">
        <v>304</v>
      </c>
      <c r="R17" s="101">
        <v>1747800</v>
      </c>
      <c r="S17" s="183" t="s">
        <v>304</v>
      </c>
      <c r="T17" s="153">
        <f>SUM(P17:R17)</f>
        <v>9519502</v>
      </c>
      <c r="U17" s="187" t="s">
        <v>304</v>
      </c>
      <c r="V17" s="176">
        <v>7669264</v>
      </c>
      <c r="W17" s="183" t="s">
        <v>309</v>
      </c>
      <c r="X17" s="101">
        <v>1737623</v>
      </c>
      <c r="Y17" s="183" t="s">
        <v>309</v>
      </c>
      <c r="Z17" s="153">
        <f>SUM(V17:X17)</f>
        <v>9406887</v>
      </c>
      <c r="AA17" s="187" t="s">
        <v>309</v>
      </c>
      <c r="AB17" s="177">
        <v>7615815</v>
      </c>
      <c r="AC17" s="183" t="s">
        <v>309</v>
      </c>
      <c r="AD17" s="153">
        <v>1735835</v>
      </c>
      <c r="AE17" s="183" t="s">
        <v>309</v>
      </c>
      <c r="AF17" s="153">
        <f>SUM(AB17:AD17)</f>
        <v>9351650</v>
      </c>
      <c r="AG17" s="187" t="s">
        <v>309</v>
      </c>
      <c r="AH17" s="177">
        <v>7566761</v>
      </c>
      <c r="AI17" s="183" t="s">
        <v>309</v>
      </c>
      <c r="AJ17" s="153">
        <v>1708953</v>
      </c>
      <c r="AK17" s="183" t="s">
        <v>309</v>
      </c>
      <c r="AL17" s="153">
        <f>SUM(AH17:AJ17)</f>
        <v>9275714</v>
      </c>
      <c r="AM17" s="187" t="s">
        <v>309</v>
      </c>
      <c r="AN17" s="177">
        <v>7373271</v>
      </c>
      <c r="AO17" s="183" t="s">
        <v>309</v>
      </c>
      <c r="AP17" s="153">
        <v>1692623</v>
      </c>
      <c r="AQ17" s="183" t="s">
        <v>309</v>
      </c>
      <c r="AR17" s="153">
        <f>SUM(AN17:AP17)</f>
        <v>9065894</v>
      </c>
      <c r="AS17" s="187" t="s">
        <v>309</v>
      </c>
      <c r="AT17" s="177">
        <v>7281452</v>
      </c>
      <c r="AU17" s="183" t="s">
        <v>309</v>
      </c>
      <c r="AV17" s="153">
        <v>1690500</v>
      </c>
      <c r="AW17" s="183" t="s">
        <v>309</v>
      </c>
      <c r="AX17" s="153">
        <f>SUM(AT17:AV17)</f>
        <v>8971952</v>
      </c>
      <c r="AY17" s="187" t="s">
        <v>309</v>
      </c>
    </row>
    <row r="18" spans="1:51" ht="29.15" customHeight="1" x14ac:dyDescent="0.3">
      <c r="A18" s="748"/>
      <c r="B18" s="749"/>
      <c r="C18" s="172" t="s">
        <v>301</v>
      </c>
      <c r="D18" s="176">
        <v>4513</v>
      </c>
      <c r="E18" s="183" t="s">
        <v>309</v>
      </c>
      <c r="F18" s="101">
        <v>1015</v>
      </c>
      <c r="G18" s="183" t="s">
        <v>309</v>
      </c>
      <c r="H18" s="153">
        <f>SUM(D18:F18)</f>
        <v>5528</v>
      </c>
      <c r="I18" s="187" t="s">
        <v>309</v>
      </c>
      <c r="J18" s="176">
        <v>29482</v>
      </c>
      <c r="K18" s="183" t="s">
        <v>309</v>
      </c>
      <c r="L18" s="101">
        <v>6651</v>
      </c>
      <c r="M18" s="183" t="s">
        <v>309</v>
      </c>
      <c r="N18" s="153">
        <f>SUM(J18:L18)</f>
        <v>36133</v>
      </c>
      <c r="O18" s="187" t="s">
        <v>309</v>
      </c>
      <c r="P18" s="176">
        <v>160650</v>
      </c>
      <c r="Q18" s="183" t="s">
        <v>304</v>
      </c>
      <c r="R18" s="101">
        <v>36400</v>
      </c>
      <c r="S18" s="183" t="s">
        <v>304</v>
      </c>
      <c r="T18" s="153">
        <f>SUM(P18:R18)</f>
        <v>197050</v>
      </c>
      <c r="U18" s="187" t="s">
        <v>304</v>
      </c>
      <c r="V18" s="176">
        <v>7721</v>
      </c>
      <c r="W18" s="183" t="s">
        <v>309</v>
      </c>
      <c r="X18" s="101">
        <v>1759</v>
      </c>
      <c r="Y18" s="183" t="s">
        <v>309</v>
      </c>
      <c r="Z18" s="153">
        <f>SUM(V18:X18)</f>
        <v>9480</v>
      </c>
      <c r="AA18" s="187" t="s">
        <v>309</v>
      </c>
      <c r="AB18" s="177">
        <v>1892</v>
      </c>
      <c r="AC18" s="183" t="s">
        <v>309</v>
      </c>
      <c r="AD18" s="153">
        <v>430</v>
      </c>
      <c r="AE18" s="183" t="s">
        <v>309</v>
      </c>
      <c r="AF18" s="153">
        <f>SUM(AB18:AD18)</f>
        <v>2322</v>
      </c>
      <c r="AG18" s="187" t="s">
        <v>309</v>
      </c>
      <c r="AH18" s="177">
        <v>2098</v>
      </c>
      <c r="AI18" s="183" t="s">
        <v>309</v>
      </c>
      <c r="AJ18" s="153">
        <v>481</v>
      </c>
      <c r="AK18" s="183" t="s">
        <v>309</v>
      </c>
      <c r="AL18" s="153">
        <f>SUM(AH18:AJ18)</f>
        <v>2579</v>
      </c>
      <c r="AM18" s="187" t="s">
        <v>309</v>
      </c>
      <c r="AN18" s="177">
        <v>1055</v>
      </c>
      <c r="AO18" s="183" t="s">
        <v>309</v>
      </c>
      <c r="AP18" s="153">
        <v>241</v>
      </c>
      <c r="AQ18" s="183" t="s">
        <v>309</v>
      </c>
      <c r="AR18" s="153">
        <f>SUM(AN18:AP18)</f>
        <v>1296</v>
      </c>
      <c r="AS18" s="187" t="s">
        <v>309</v>
      </c>
      <c r="AT18" s="177">
        <v>4195</v>
      </c>
      <c r="AU18" s="183" t="s">
        <v>309</v>
      </c>
      <c r="AV18" s="153">
        <v>947</v>
      </c>
      <c r="AW18" s="183" t="s">
        <v>309</v>
      </c>
      <c r="AX18" s="153">
        <f>SUM(AT18:AV18)</f>
        <v>5142</v>
      </c>
      <c r="AY18" s="187" t="s">
        <v>309</v>
      </c>
    </row>
    <row r="19" spans="1:51" ht="29.15" customHeight="1" x14ac:dyDescent="0.3">
      <c r="A19" s="748" t="s">
        <v>294</v>
      </c>
      <c r="B19" s="749"/>
      <c r="C19" s="172" t="s">
        <v>300</v>
      </c>
      <c r="D19" s="176">
        <v>7956752</v>
      </c>
      <c r="E19" s="183" t="s">
        <v>309</v>
      </c>
      <c r="F19" s="101">
        <v>1820710</v>
      </c>
      <c r="G19" s="183" t="s">
        <v>309</v>
      </c>
      <c r="H19" s="153">
        <f>SUM(D19:F19)</f>
        <v>9777462</v>
      </c>
      <c r="I19" s="187" t="s">
        <v>309</v>
      </c>
      <c r="J19" s="176">
        <v>7835776</v>
      </c>
      <c r="K19" s="183" t="s">
        <v>309</v>
      </c>
      <c r="L19" s="101">
        <v>1759203</v>
      </c>
      <c r="M19" s="183" t="s">
        <v>309</v>
      </c>
      <c r="N19" s="153">
        <f>SUM(J19:L19)</f>
        <v>9594979</v>
      </c>
      <c r="O19" s="187" t="s">
        <v>309</v>
      </c>
      <c r="P19" s="176">
        <v>7755363</v>
      </c>
      <c r="Q19" s="183" t="s">
        <v>304</v>
      </c>
      <c r="R19" s="101">
        <v>1744126</v>
      </c>
      <c r="S19" s="183" t="s">
        <v>304</v>
      </c>
      <c r="T19" s="153">
        <f>SUM(P19:R19)</f>
        <v>9499489</v>
      </c>
      <c r="U19" s="187" t="s">
        <v>304</v>
      </c>
      <c r="V19" s="176">
        <v>7510715</v>
      </c>
      <c r="W19" s="183" t="s">
        <v>309</v>
      </c>
      <c r="X19" s="101">
        <v>1701701</v>
      </c>
      <c r="Y19" s="183" t="s">
        <v>309</v>
      </c>
      <c r="Z19" s="153">
        <f>SUM(V19:X19)</f>
        <v>9212416</v>
      </c>
      <c r="AA19" s="187" t="s">
        <v>309</v>
      </c>
      <c r="AB19" s="177">
        <v>7608354</v>
      </c>
      <c r="AC19" s="183" t="s">
        <v>309</v>
      </c>
      <c r="AD19" s="153">
        <v>1734135</v>
      </c>
      <c r="AE19" s="183" t="s">
        <v>309</v>
      </c>
      <c r="AF19" s="153">
        <f>SUM(AB19:AD19)</f>
        <v>9342489</v>
      </c>
      <c r="AG19" s="187" t="s">
        <v>309</v>
      </c>
      <c r="AH19" s="177">
        <v>7565540</v>
      </c>
      <c r="AI19" s="183" t="s">
        <v>309</v>
      </c>
      <c r="AJ19" s="153">
        <v>1708677</v>
      </c>
      <c r="AK19" s="183" t="s">
        <v>309</v>
      </c>
      <c r="AL19" s="153">
        <f>SUM(AH19:AJ19)</f>
        <v>9274217</v>
      </c>
      <c r="AM19" s="187" t="s">
        <v>309</v>
      </c>
      <c r="AN19" s="177">
        <v>7371785</v>
      </c>
      <c r="AO19" s="183" t="s">
        <v>309</v>
      </c>
      <c r="AP19" s="153">
        <v>1692282</v>
      </c>
      <c r="AQ19" s="183" t="s">
        <v>309</v>
      </c>
      <c r="AR19" s="153">
        <f>SUM(AN19:AP19)</f>
        <v>9064067</v>
      </c>
      <c r="AS19" s="187" t="s">
        <v>309</v>
      </c>
      <c r="AT19" s="177">
        <v>7281011</v>
      </c>
      <c r="AU19" s="183" t="s">
        <v>309</v>
      </c>
      <c r="AV19" s="153">
        <v>1690398</v>
      </c>
      <c r="AW19" s="183" t="s">
        <v>309</v>
      </c>
      <c r="AX19" s="153">
        <f>SUM(AT19:AV19)</f>
        <v>8971409</v>
      </c>
      <c r="AY19" s="187" t="s">
        <v>309</v>
      </c>
    </row>
    <row r="20" spans="1:51" ht="29.15" customHeight="1" x14ac:dyDescent="0.3">
      <c r="A20" s="752"/>
      <c r="B20" s="753"/>
      <c r="C20" s="173" t="s">
        <v>301</v>
      </c>
      <c r="D20" s="178">
        <v>3993</v>
      </c>
      <c r="E20" s="184" t="s">
        <v>309</v>
      </c>
      <c r="F20" s="102">
        <v>898</v>
      </c>
      <c r="G20" s="184" t="s">
        <v>309</v>
      </c>
      <c r="H20" s="179">
        <f>SUM(D20:F20)</f>
        <v>4891</v>
      </c>
      <c r="I20" s="188" t="s">
        <v>309</v>
      </c>
      <c r="J20" s="178">
        <v>27575</v>
      </c>
      <c r="K20" s="184" t="s">
        <v>309</v>
      </c>
      <c r="L20" s="102">
        <v>6221</v>
      </c>
      <c r="M20" s="184" t="s">
        <v>309</v>
      </c>
      <c r="N20" s="179">
        <f>SUM(J20:L20)</f>
        <v>33796</v>
      </c>
      <c r="O20" s="188" t="s">
        <v>309</v>
      </c>
      <c r="P20" s="178">
        <v>147508</v>
      </c>
      <c r="Q20" s="184" t="s">
        <v>304</v>
      </c>
      <c r="R20" s="102">
        <v>33423</v>
      </c>
      <c r="S20" s="184" t="s">
        <v>304</v>
      </c>
      <c r="T20" s="179">
        <f>SUM(P20:R20)</f>
        <v>180931</v>
      </c>
      <c r="U20" s="188" t="s">
        <v>304</v>
      </c>
      <c r="V20" s="178">
        <v>7013</v>
      </c>
      <c r="W20" s="184" t="s">
        <v>309</v>
      </c>
      <c r="X20" s="102">
        <v>1598</v>
      </c>
      <c r="Y20" s="184" t="s">
        <v>309</v>
      </c>
      <c r="Z20" s="179">
        <f>SUM(V20:X20)</f>
        <v>8611</v>
      </c>
      <c r="AA20" s="188" t="s">
        <v>309</v>
      </c>
      <c r="AB20" s="181">
        <v>1892</v>
      </c>
      <c r="AC20" s="184" t="s">
        <v>309</v>
      </c>
      <c r="AD20" s="179">
        <v>430</v>
      </c>
      <c r="AE20" s="184" t="s">
        <v>309</v>
      </c>
      <c r="AF20" s="179">
        <f>SUM(AB20:AD20)</f>
        <v>2322</v>
      </c>
      <c r="AG20" s="188" t="s">
        <v>309</v>
      </c>
      <c r="AH20" s="181">
        <v>1486</v>
      </c>
      <c r="AI20" s="184" t="s">
        <v>309</v>
      </c>
      <c r="AJ20" s="179">
        <v>340</v>
      </c>
      <c r="AK20" s="184" t="s">
        <v>309</v>
      </c>
      <c r="AL20" s="179">
        <f>SUM(AH20:AJ20)</f>
        <v>1826</v>
      </c>
      <c r="AM20" s="188" t="s">
        <v>309</v>
      </c>
      <c r="AN20" s="181">
        <v>442</v>
      </c>
      <c r="AO20" s="184" t="s">
        <v>309</v>
      </c>
      <c r="AP20" s="179">
        <v>101</v>
      </c>
      <c r="AQ20" s="184" t="s">
        <v>309</v>
      </c>
      <c r="AR20" s="179">
        <f>SUM(AN20:AP20)</f>
        <v>543</v>
      </c>
      <c r="AS20" s="188" t="s">
        <v>309</v>
      </c>
      <c r="AT20" s="181">
        <v>3581</v>
      </c>
      <c r="AU20" s="184" t="s">
        <v>309</v>
      </c>
      <c r="AV20" s="179">
        <v>808</v>
      </c>
      <c r="AW20" s="184" t="s">
        <v>309</v>
      </c>
      <c r="AX20" s="179">
        <f>SUM(AT20:AV20)</f>
        <v>4389</v>
      </c>
      <c r="AY20" s="188" t="s">
        <v>309</v>
      </c>
    </row>
    <row r="21" spans="1:51" ht="18" x14ac:dyDescent="0.35">
      <c r="C21" s="110"/>
      <c r="D21" s="165"/>
      <c r="E21" s="185"/>
      <c r="F21" s="165"/>
      <c r="G21" s="185"/>
      <c r="H21" s="165"/>
      <c r="I21" s="185"/>
      <c r="J21" s="165"/>
      <c r="K21" s="185"/>
      <c r="L21" s="165"/>
      <c r="M21" s="185"/>
      <c r="N21" s="165"/>
      <c r="O21" s="185"/>
      <c r="P21" s="165"/>
      <c r="Q21" s="185"/>
      <c r="R21" s="165"/>
      <c r="S21" s="185"/>
      <c r="T21" s="165"/>
      <c r="U21" s="185"/>
    </row>
  </sheetData>
  <customSheetViews>
    <customSheetView guid="{501209ED-4B79-4E52-B95E-748E5E77E24F}" showPageBreaks="1" fitToPage="1">
      <pane xSplit="3" ySplit="8" topLeftCell="D9" activePane="bottomRight" state="frozen"/>
      <selection pane="bottomRight" activeCell="D21" sqref="D21"/>
      <pageMargins left="0.59055118110236227" right="0.59055118110236227" top="0.59055118110236227" bottom="0.59055118110236227" header="0.31496062992125984" footer="0.31496062992125984"/>
      <printOptions horizontalCentered="1"/>
      <pageSetup paperSize="9" fitToWidth="0" orientation="landscape" r:id="rId1"/>
    </customSheetView>
  </customSheetViews>
  <mergeCells count="39">
    <mergeCell ref="V8:AA8"/>
    <mergeCell ref="V9:W9"/>
    <mergeCell ref="X9:Y9"/>
    <mergeCell ref="Z9:AA9"/>
    <mergeCell ref="A14:B14"/>
    <mergeCell ref="D8:I8"/>
    <mergeCell ref="D9:E9"/>
    <mergeCell ref="F9:G9"/>
    <mergeCell ref="H9:I9"/>
    <mergeCell ref="A15:B15"/>
    <mergeCell ref="A16:B16"/>
    <mergeCell ref="A17:B18"/>
    <mergeCell ref="A19:B20"/>
    <mergeCell ref="P8:U8"/>
    <mergeCell ref="P9:Q9"/>
    <mergeCell ref="T9:U9"/>
    <mergeCell ref="R9:S9"/>
    <mergeCell ref="A10:B10"/>
    <mergeCell ref="B11:C11"/>
    <mergeCell ref="J8:O8"/>
    <mergeCell ref="J9:K9"/>
    <mergeCell ref="L9:M9"/>
    <mergeCell ref="N9:O9"/>
    <mergeCell ref="AX9:AY9"/>
    <mergeCell ref="AB8:AG8"/>
    <mergeCell ref="AH8:AM8"/>
    <mergeCell ref="AN8:AS8"/>
    <mergeCell ref="AT8:AY8"/>
    <mergeCell ref="AT9:AU9"/>
    <mergeCell ref="AV9:AW9"/>
    <mergeCell ref="AL9:AM9"/>
    <mergeCell ref="AN9:AO9"/>
    <mergeCell ref="AP9:AQ9"/>
    <mergeCell ref="AR9:AS9"/>
    <mergeCell ref="AB9:AC9"/>
    <mergeCell ref="AD9:AE9"/>
    <mergeCell ref="AF9:AG9"/>
    <mergeCell ref="AH9:AI9"/>
    <mergeCell ref="AJ9:AK9"/>
  </mergeCells>
  <phoneticPr fontId="1"/>
  <conditionalFormatting sqref="J10 L10 N11 L12:L20 J12:J20">
    <cfRule type="containsBlanks" dxfId="13" priority="2">
      <formula>LEN(TRIM(J10))=0</formula>
    </cfRule>
  </conditionalFormatting>
  <conditionalFormatting sqref="D10 F10 H11 F12:F20 D12:D20">
    <cfRule type="containsBlanks" dxfId="12" priority="1">
      <formula>LEN(TRIM(D10))=0</formula>
    </cfRule>
  </conditionalFormatting>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fitToWidth="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ColWidth="11.08203125" defaultRowHeight="14" x14ac:dyDescent="0.3"/>
  <cols>
    <col min="1" max="1" width="4.83203125" style="1" bestFit="1" customWidth="1"/>
    <col min="2" max="7" width="10.58203125" style="1" customWidth="1"/>
    <col min="8" max="8" width="10.58203125" style="2" customWidth="1"/>
    <col min="9" max="9" width="10.58203125" style="1" customWidth="1"/>
    <col min="10" max="10" width="11.08203125" style="1" bestFit="1" customWidth="1"/>
    <col min="11" max="16384" width="11.08203125" style="1"/>
  </cols>
  <sheetData>
    <row r="1" spans="1:10" ht="14.5" x14ac:dyDescent="0.3">
      <c r="A1" s="432" t="s">
        <v>438</v>
      </c>
      <c r="B1" s="432"/>
    </row>
    <row r="3" spans="1:10" s="253" customFormat="1" ht="18.5" x14ac:dyDescent="0.55000000000000004">
      <c r="A3" s="252" t="s">
        <v>230</v>
      </c>
      <c r="C3" s="252"/>
      <c r="D3" s="252"/>
      <c r="E3" s="252"/>
    </row>
    <row r="4" spans="1:10" s="253" customFormat="1" ht="18.5" x14ac:dyDescent="0.55000000000000004">
      <c r="A4" s="252" t="s">
        <v>311</v>
      </c>
      <c r="C4" s="252"/>
      <c r="D4" s="252"/>
      <c r="E4" s="252"/>
    </row>
    <row r="5" spans="1:10" s="253" customFormat="1" ht="14.5" customHeight="1" x14ac:dyDescent="0.55000000000000004"/>
    <row r="6" spans="1:10" s="255" customFormat="1" ht="14.5" x14ac:dyDescent="0.55000000000000004">
      <c r="A6" s="22" t="s">
        <v>312</v>
      </c>
      <c r="C6" s="22"/>
      <c r="D6" s="22"/>
      <c r="E6" s="22"/>
      <c r="H6" s="254"/>
    </row>
    <row r="7" spans="1:10" s="255" customFormat="1" ht="14.5" x14ac:dyDescent="0.55000000000000004">
      <c r="A7" s="22" t="s">
        <v>313</v>
      </c>
      <c r="C7" s="22"/>
      <c r="D7" s="22"/>
      <c r="E7" s="22"/>
      <c r="H7" s="254"/>
    </row>
    <row r="8" spans="1:10" s="255" customFormat="1" x14ac:dyDescent="0.55000000000000004">
      <c r="H8" s="254"/>
    </row>
    <row r="9" spans="1:10" s="255" customFormat="1" ht="20.149999999999999" customHeight="1" x14ac:dyDescent="0.55000000000000004">
      <c r="C9" s="621" t="s">
        <v>1130</v>
      </c>
      <c r="D9" s="595" t="s">
        <v>1113</v>
      </c>
      <c r="E9" s="267" t="s">
        <v>1080</v>
      </c>
      <c r="F9" s="515" t="s">
        <v>1079</v>
      </c>
      <c r="G9" s="267" t="s">
        <v>270</v>
      </c>
      <c r="H9" s="267" t="s">
        <v>127</v>
      </c>
      <c r="I9" s="267" t="s">
        <v>2</v>
      </c>
      <c r="J9" s="267" t="s">
        <v>276</v>
      </c>
    </row>
    <row r="10" spans="1:10" s="255" customFormat="1" ht="29.15" customHeight="1" x14ac:dyDescent="0.55000000000000004">
      <c r="A10" s="758" t="s">
        <v>315</v>
      </c>
      <c r="B10" s="192" t="s">
        <v>316</v>
      </c>
      <c r="C10" s="588">
        <v>501728</v>
      </c>
      <c r="D10" s="100">
        <v>498323</v>
      </c>
      <c r="E10" s="100">
        <v>498176</v>
      </c>
      <c r="F10" s="100">
        <v>497657</v>
      </c>
      <c r="G10" s="100">
        <v>483019</v>
      </c>
      <c r="H10" s="100">
        <v>497397</v>
      </c>
      <c r="I10" s="100">
        <v>496549</v>
      </c>
      <c r="J10" s="193">
        <v>495121</v>
      </c>
    </row>
    <row r="11" spans="1:10" s="255" customFormat="1" ht="29" x14ac:dyDescent="0.55000000000000004">
      <c r="A11" s="759"/>
      <c r="B11" s="168" t="s">
        <v>318</v>
      </c>
      <c r="C11" s="176">
        <v>104823</v>
      </c>
      <c r="D11" s="101">
        <v>103799</v>
      </c>
      <c r="E11" s="101">
        <v>104010</v>
      </c>
      <c r="F11" s="101">
        <v>103832</v>
      </c>
      <c r="G11" s="101">
        <v>103947</v>
      </c>
      <c r="H11" s="101">
        <v>103727</v>
      </c>
      <c r="I11" s="101">
        <v>103946</v>
      </c>
      <c r="J11" s="158">
        <v>103990</v>
      </c>
    </row>
    <row r="12" spans="1:10" s="255" customFormat="1" ht="29" x14ac:dyDescent="0.55000000000000004">
      <c r="A12" s="761"/>
      <c r="B12" s="194" t="s">
        <v>317</v>
      </c>
      <c r="C12" s="178">
        <v>3772504.977</v>
      </c>
      <c r="D12" s="102">
        <v>3630707.6129999999</v>
      </c>
      <c r="E12" s="102">
        <v>3538302</v>
      </c>
      <c r="F12" s="102">
        <v>3462938</v>
      </c>
      <c r="G12" s="102">
        <v>3503652</v>
      </c>
      <c r="H12" s="102">
        <v>3494940</v>
      </c>
      <c r="I12" s="102">
        <v>3463695</v>
      </c>
      <c r="J12" s="190">
        <v>3411355</v>
      </c>
    </row>
    <row r="13" spans="1:10" s="255" customFormat="1" ht="29.15" customHeight="1" x14ac:dyDescent="0.55000000000000004">
      <c r="A13" s="758" t="s">
        <v>319</v>
      </c>
      <c r="B13" s="192" t="s">
        <v>160</v>
      </c>
      <c r="C13" s="588">
        <v>616386</v>
      </c>
      <c r="D13" s="100">
        <v>614841</v>
      </c>
      <c r="E13" s="100">
        <v>612193</v>
      </c>
      <c r="F13" s="100">
        <v>609390</v>
      </c>
      <c r="G13" s="100">
        <v>606702</v>
      </c>
      <c r="H13" s="100">
        <v>604266</v>
      </c>
      <c r="I13" s="100">
        <v>601172</v>
      </c>
      <c r="J13" s="193">
        <v>597152</v>
      </c>
    </row>
    <row r="14" spans="1:10" s="255" customFormat="1" ht="29" x14ac:dyDescent="0.55000000000000004">
      <c r="A14" s="759"/>
      <c r="B14" s="168" t="s">
        <v>320</v>
      </c>
      <c r="C14" s="176">
        <v>90418</v>
      </c>
      <c r="D14" s="101">
        <v>90027</v>
      </c>
      <c r="E14" s="101">
        <v>89429</v>
      </c>
      <c r="F14" s="101">
        <v>89017</v>
      </c>
      <c r="G14" s="101">
        <v>88643</v>
      </c>
      <c r="H14" s="101">
        <v>88101</v>
      </c>
      <c r="I14" s="101">
        <v>87539</v>
      </c>
      <c r="J14" s="158">
        <v>86851</v>
      </c>
    </row>
    <row r="15" spans="1:10" s="255" customFormat="1" ht="29.5" thickBot="1" x14ac:dyDescent="0.6">
      <c r="A15" s="760"/>
      <c r="B15" s="195" t="s">
        <v>317</v>
      </c>
      <c r="C15" s="586">
        <v>4394432</v>
      </c>
      <c r="D15" s="196">
        <v>4400163</v>
      </c>
      <c r="E15" s="196">
        <v>4308691</v>
      </c>
      <c r="F15" s="196">
        <v>4051893</v>
      </c>
      <c r="G15" s="196">
        <v>4273889</v>
      </c>
      <c r="H15" s="196">
        <v>4187148</v>
      </c>
      <c r="I15" s="196">
        <v>4084682</v>
      </c>
      <c r="J15" s="164">
        <v>4093024</v>
      </c>
    </row>
    <row r="16" spans="1:10" s="255" customFormat="1" ht="29.5" thickTop="1" x14ac:dyDescent="0.55000000000000004">
      <c r="A16" s="402" t="s">
        <v>113</v>
      </c>
      <c r="B16" s="248" t="s">
        <v>317</v>
      </c>
      <c r="C16" s="108">
        <f>SUM(C12,C15)</f>
        <v>8166936.977</v>
      </c>
      <c r="D16" s="510">
        <f>SUM(D12,D15)</f>
        <v>8030870.6129999999</v>
      </c>
      <c r="E16" s="510">
        <f>SUM(E12,E15)</f>
        <v>7846993</v>
      </c>
      <c r="F16" s="510">
        <f>SUM(F12,F15)</f>
        <v>7514831</v>
      </c>
      <c r="G16" s="510">
        <f t="shared" ref="G16:J16" si="0">SUM(G12,G15)</f>
        <v>7777541</v>
      </c>
      <c r="H16" s="510">
        <f t="shared" si="0"/>
        <v>7682088</v>
      </c>
      <c r="I16" s="510">
        <f t="shared" si="0"/>
        <v>7548377</v>
      </c>
      <c r="J16" s="511">
        <f t="shared" si="0"/>
        <v>7504379</v>
      </c>
    </row>
  </sheetData>
  <customSheetViews>
    <customSheetView guid="{501209ED-4B79-4E52-B95E-748E5E77E24F}">
      <pane xSplit="2" ySplit="8" topLeftCell="C9" activePane="bottomRight" state="frozen"/>
      <selection pane="bottomRight" activeCell="J13" sqref="J13"/>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mergeCells count="2">
    <mergeCell ref="A13:A15"/>
    <mergeCell ref="A10:A12"/>
  </mergeCells>
  <phoneticPr fontId="1"/>
  <conditionalFormatting sqref="D16">
    <cfRule type="containsBlanks" dxfId="11" priority="6">
      <formula>LEN(TRIM(D16))=0</formula>
    </cfRule>
  </conditionalFormatting>
  <conditionalFormatting sqref="D10:D12">
    <cfRule type="containsBlanks" dxfId="10" priority="5">
      <formula>LEN(TRIM(D10))=0</formula>
    </cfRule>
  </conditionalFormatting>
  <conditionalFormatting sqref="D13:D15">
    <cfRule type="containsBlanks" dxfId="9" priority="4">
      <formula>LEN(TRIM(D13))=0</formula>
    </cfRule>
  </conditionalFormatting>
  <conditionalFormatting sqref="C16">
    <cfRule type="containsBlanks" dxfId="8" priority="3">
      <formula>LEN(TRIM(C16))=0</formula>
    </cfRule>
  </conditionalFormatting>
  <conditionalFormatting sqref="C10:C12">
    <cfRule type="containsBlanks" dxfId="7" priority="2">
      <formula>LEN(TRIM(C10))=0</formula>
    </cfRule>
  </conditionalFormatting>
  <conditionalFormatting sqref="C13:C15">
    <cfRule type="containsBlanks" dxfId="6" priority="1">
      <formula>LEN(TRIM(C13))=0</formula>
    </cfRule>
  </conditionalFormatting>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pane xSplit="2" ySplit="7" topLeftCell="C8" activePane="bottomRight" state="frozen"/>
      <selection pane="topRight" activeCell="C1" sqref="C1"/>
      <selection pane="bottomLeft" activeCell="A8" sqref="A8"/>
      <selection pane="bottomRight"/>
    </sheetView>
  </sheetViews>
  <sheetFormatPr defaultColWidth="8.58203125" defaultRowHeight="14" x14ac:dyDescent="0.3"/>
  <cols>
    <col min="1" max="1" width="16.33203125" style="1" customWidth="1"/>
    <col min="2" max="2" width="8.33203125" style="1" customWidth="1"/>
    <col min="3" max="6" width="10.58203125" style="1" customWidth="1"/>
    <col min="7" max="7" width="10.58203125" style="2" customWidth="1"/>
    <col min="8" max="9" width="10.58203125" style="1" customWidth="1"/>
    <col min="10" max="10" width="11.08203125" style="1" bestFit="1" customWidth="1"/>
    <col min="11" max="16384" width="8.58203125" style="1"/>
  </cols>
  <sheetData>
    <row r="1" spans="1:10" ht="14.5" x14ac:dyDescent="0.3">
      <c r="A1" s="432" t="s">
        <v>438</v>
      </c>
    </row>
    <row r="3" spans="1:10" s="253" customFormat="1" ht="20.149999999999999" customHeight="1" x14ac:dyDescent="0.55000000000000004">
      <c r="A3" s="252" t="s">
        <v>321</v>
      </c>
    </row>
    <row r="4" spans="1:10" s="253" customFormat="1" ht="20.149999999999999" customHeight="1" x14ac:dyDescent="0.55000000000000004">
      <c r="A4" s="252" t="s">
        <v>322</v>
      </c>
    </row>
    <row r="5" spans="1:10" s="253" customFormat="1" ht="17.5" x14ac:dyDescent="0.55000000000000004"/>
    <row r="6" spans="1:10" s="255" customFormat="1" ht="14.5" x14ac:dyDescent="0.55000000000000004">
      <c r="A6" s="22" t="s">
        <v>330</v>
      </c>
      <c r="G6" s="254"/>
    </row>
    <row r="7" spans="1:10" s="255" customFormat="1" ht="14.5" x14ac:dyDescent="0.55000000000000004">
      <c r="A7" s="22"/>
      <c r="G7" s="254"/>
    </row>
    <row r="8" spans="1:10" s="255" customFormat="1" ht="20.149999999999999" customHeight="1" x14ac:dyDescent="0.55000000000000004">
      <c r="C8" s="621" t="s">
        <v>1113</v>
      </c>
      <c r="D8" s="595" t="s">
        <v>1080</v>
      </c>
      <c r="E8" s="267" t="s">
        <v>314</v>
      </c>
      <c r="F8" s="515" t="s">
        <v>270</v>
      </c>
      <c r="G8" s="267" t="s">
        <v>127</v>
      </c>
      <c r="H8" s="267" t="s">
        <v>2</v>
      </c>
      <c r="I8" s="267" t="s">
        <v>276</v>
      </c>
      <c r="J8" s="267" t="s">
        <v>271</v>
      </c>
    </row>
    <row r="9" spans="1:10" s="255" customFormat="1" ht="20.149999999999999" customHeight="1" x14ac:dyDescent="0.55000000000000004">
      <c r="A9" s="197" t="s">
        <v>323</v>
      </c>
      <c r="B9" s="205" t="s">
        <v>324</v>
      </c>
      <c r="C9" s="589">
        <v>2202</v>
      </c>
      <c r="D9" s="200">
        <v>2191</v>
      </c>
      <c r="E9" s="200">
        <v>2161</v>
      </c>
      <c r="F9" s="200">
        <v>2409</v>
      </c>
      <c r="G9" s="200">
        <v>2189</v>
      </c>
      <c r="H9" s="200">
        <v>2528</v>
      </c>
      <c r="I9" s="200">
        <v>2803</v>
      </c>
      <c r="J9" s="201">
        <v>2638</v>
      </c>
    </row>
    <row r="10" spans="1:10" s="255" customFormat="1" ht="20.149999999999999" customHeight="1" x14ac:dyDescent="0.55000000000000004">
      <c r="A10" s="199"/>
      <c r="B10" s="206" t="s">
        <v>325</v>
      </c>
      <c r="C10" s="181">
        <v>80.69</v>
      </c>
      <c r="D10" s="179">
        <v>91.56</v>
      </c>
      <c r="E10" s="179">
        <v>79.3</v>
      </c>
      <c r="F10" s="179">
        <v>88.81</v>
      </c>
      <c r="G10" s="179">
        <v>83.6</v>
      </c>
      <c r="H10" s="179">
        <v>104</v>
      </c>
      <c r="I10" s="179">
        <v>81.206999999999994</v>
      </c>
      <c r="J10" s="156">
        <v>65.510999999999996</v>
      </c>
    </row>
    <row r="11" spans="1:10" s="255" customFormat="1" ht="20.149999999999999" customHeight="1" x14ac:dyDescent="0.55000000000000004">
      <c r="A11" s="197" t="s">
        <v>326</v>
      </c>
      <c r="B11" s="207" t="s">
        <v>324</v>
      </c>
      <c r="C11" s="589">
        <v>6564</v>
      </c>
      <c r="D11" s="200">
        <v>7013</v>
      </c>
      <c r="E11" s="200">
        <v>7308</v>
      </c>
      <c r="F11" s="200">
        <v>7088</v>
      </c>
      <c r="G11" s="200">
        <v>7201</v>
      </c>
      <c r="H11" s="200">
        <v>7178</v>
      </c>
      <c r="I11" s="200">
        <v>7230</v>
      </c>
      <c r="J11" s="201">
        <v>7214</v>
      </c>
    </row>
    <row r="12" spans="1:10" s="255" customFormat="1" ht="20.149999999999999" customHeight="1" x14ac:dyDescent="0.55000000000000004">
      <c r="A12" s="199"/>
      <c r="B12" s="206" t="s">
        <v>325</v>
      </c>
      <c r="C12" s="181">
        <v>58.17</v>
      </c>
      <c r="D12" s="179">
        <v>66.64</v>
      </c>
      <c r="E12" s="179">
        <v>70.489999999999995</v>
      </c>
      <c r="F12" s="179">
        <v>68.89</v>
      </c>
      <c r="G12" s="179">
        <v>69.92</v>
      </c>
      <c r="H12" s="179">
        <v>69</v>
      </c>
      <c r="I12" s="179">
        <v>54.938099999999999</v>
      </c>
      <c r="J12" s="156">
        <v>54.063000000000002</v>
      </c>
    </row>
    <row r="13" spans="1:10" s="255" customFormat="1" ht="20.149999999999999" customHeight="1" x14ac:dyDescent="0.55000000000000004">
      <c r="A13" s="197" t="s">
        <v>328</v>
      </c>
      <c r="B13" s="207" t="s">
        <v>324</v>
      </c>
      <c r="C13" s="590">
        <v>0</v>
      </c>
      <c r="D13" s="202">
        <v>0</v>
      </c>
      <c r="E13" s="202">
        <v>0</v>
      </c>
      <c r="F13" s="202">
        <v>0</v>
      </c>
      <c r="G13" s="202">
        <v>0</v>
      </c>
      <c r="H13" s="202">
        <v>0</v>
      </c>
      <c r="I13" s="202">
        <v>0</v>
      </c>
      <c r="J13" s="201">
        <v>3</v>
      </c>
    </row>
    <row r="14" spans="1:10" s="255" customFormat="1" ht="20.149999999999999" customHeight="1" x14ac:dyDescent="0.55000000000000004">
      <c r="A14" s="199"/>
      <c r="B14" s="206" t="s">
        <v>325</v>
      </c>
      <c r="C14" s="591">
        <v>0</v>
      </c>
      <c r="D14" s="203">
        <v>0</v>
      </c>
      <c r="E14" s="203">
        <v>0</v>
      </c>
      <c r="F14" s="203">
        <v>0</v>
      </c>
      <c r="G14" s="512">
        <v>0</v>
      </c>
      <c r="H14" s="512">
        <v>0</v>
      </c>
      <c r="I14" s="203">
        <v>0</v>
      </c>
      <c r="J14" s="541">
        <v>0.28457500000000002</v>
      </c>
    </row>
    <row r="15" spans="1:10" s="255" customFormat="1" ht="20.149999999999999" customHeight="1" x14ac:dyDescent="0.55000000000000004">
      <c r="A15" s="197" t="s">
        <v>329</v>
      </c>
      <c r="B15" s="207" t="s">
        <v>324</v>
      </c>
      <c r="C15" s="589">
        <v>317</v>
      </c>
      <c r="D15" s="200">
        <v>278</v>
      </c>
      <c r="E15" s="200">
        <v>275</v>
      </c>
      <c r="F15" s="200">
        <v>344</v>
      </c>
      <c r="G15" s="200">
        <v>338</v>
      </c>
      <c r="H15" s="200">
        <v>406</v>
      </c>
      <c r="I15" s="200">
        <v>287</v>
      </c>
      <c r="J15" s="201">
        <v>270</v>
      </c>
    </row>
    <row r="16" spans="1:10" s="255" customFormat="1" ht="20.149999999999999" customHeight="1" thickBot="1" x14ac:dyDescent="0.6">
      <c r="A16" s="209"/>
      <c r="B16" s="208" t="s">
        <v>325</v>
      </c>
      <c r="C16" s="592">
        <v>11.98</v>
      </c>
      <c r="D16" s="204">
        <v>10.95</v>
      </c>
      <c r="E16" s="204">
        <v>8.9700000000000006</v>
      </c>
      <c r="F16" s="204">
        <v>14.87</v>
      </c>
      <c r="G16" s="204">
        <v>12.48</v>
      </c>
      <c r="H16" s="204">
        <v>18</v>
      </c>
      <c r="I16" s="204">
        <v>9.148200000000001</v>
      </c>
      <c r="J16" s="163">
        <v>8.8238000000000003</v>
      </c>
    </row>
    <row r="17" spans="1:10" s="255" customFormat="1" ht="20.149999999999999" customHeight="1" thickTop="1" x14ac:dyDescent="0.55000000000000004">
      <c r="A17" s="407" t="s">
        <v>113</v>
      </c>
      <c r="B17" s="207" t="s">
        <v>324</v>
      </c>
      <c r="C17" s="513">
        <f t="shared" ref="C17:E18" si="0">C9+C11+C13+C15</f>
        <v>9083</v>
      </c>
      <c r="D17" s="513">
        <f t="shared" si="0"/>
        <v>9482</v>
      </c>
      <c r="E17" s="513">
        <f t="shared" si="0"/>
        <v>9744</v>
      </c>
      <c r="F17" s="513">
        <f t="shared" ref="F17:J18" si="1">F9+F11+F13+F15</f>
        <v>9841</v>
      </c>
      <c r="G17" s="513">
        <f t="shared" si="1"/>
        <v>9728</v>
      </c>
      <c r="H17" s="513">
        <f t="shared" si="1"/>
        <v>10112</v>
      </c>
      <c r="I17" s="513">
        <f t="shared" si="1"/>
        <v>10320</v>
      </c>
      <c r="J17" s="514">
        <f t="shared" si="1"/>
        <v>10125</v>
      </c>
    </row>
    <row r="18" spans="1:10" s="255" customFormat="1" ht="20.149999999999999" customHeight="1" x14ac:dyDescent="0.55000000000000004">
      <c r="A18" s="408"/>
      <c r="B18" s="206" t="s">
        <v>325</v>
      </c>
      <c r="C18" s="102">
        <f t="shared" si="0"/>
        <v>150.84</v>
      </c>
      <c r="D18" s="102">
        <f t="shared" si="0"/>
        <v>169.14999999999998</v>
      </c>
      <c r="E18" s="102">
        <f t="shared" si="0"/>
        <v>158.76</v>
      </c>
      <c r="F18" s="102">
        <f t="shared" si="1"/>
        <v>172.57</v>
      </c>
      <c r="G18" s="102">
        <f t="shared" si="1"/>
        <v>165.99999999999997</v>
      </c>
      <c r="H18" s="102">
        <f t="shared" si="1"/>
        <v>191</v>
      </c>
      <c r="I18" s="102">
        <f t="shared" si="1"/>
        <v>145.29329999999999</v>
      </c>
      <c r="J18" s="190">
        <f t="shared" si="1"/>
        <v>128.68237500000001</v>
      </c>
    </row>
  </sheetData>
  <customSheetViews>
    <customSheetView guid="{501209ED-4B79-4E52-B95E-748E5E77E24F}">
      <pane xSplit="2" ySplit="7" topLeftCell="C9" activePane="bottomRight" state="frozen"/>
      <selection pane="bottomRight" activeCell="C9" sqref="C9"/>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phoneticPr fontId="1"/>
  <conditionalFormatting sqref="D17:D18">
    <cfRule type="containsBlanks" dxfId="5" priority="4">
      <formula>LEN(TRIM(D17))=0</formula>
    </cfRule>
  </conditionalFormatting>
  <conditionalFormatting sqref="D9:D16">
    <cfRule type="containsBlanks" dxfId="4" priority="3">
      <formula>LEN(TRIM(D9))=0</formula>
    </cfRule>
  </conditionalFormatting>
  <conditionalFormatting sqref="C17:C18">
    <cfRule type="containsBlanks" dxfId="3" priority="2">
      <formula>LEN(TRIM(C17))=0</formula>
    </cfRule>
  </conditionalFormatting>
  <conditionalFormatting sqref="C9:C16">
    <cfRule type="containsBlanks" dxfId="2" priority="1">
      <formula>LEN(TRIM(C9))=0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ColWidth="8.58203125" defaultRowHeight="14" x14ac:dyDescent="0.3"/>
  <cols>
    <col min="1" max="1" width="20.08203125" style="1" bestFit="1" customWidth="1"/>
    <col min="2" max="2" width="4.83203125" style="1" bestFit="1" customWidth="1"/>
    <col min="3" max="6" width="10.58203125" style="1" customWidth="1"/>
    <col min="7" max="7" width="10.58203125" style="2" customWidth="1"/>
    <col min="8" max="9" width="10.58203125" style="1" customWidth="1"/>
    <col min="10" max="10" width="11.08203125" style="1" bestFit="1" customWidth="1"/>
    <col min="11" max="16384" width="8.58203125" style="1"/>
  </cols>
  <sheetData>
    <row r="1" spans="1:10" ht="14.5" x14ac:dyDescent="0.3">
      <c r="A1" s="432" t="s">
        <v>438</v>
      </c>
    </row>
    <row r="3" spans="1:10" s="8" customFormat="1" ht="20.149999999999999" customHeight="1" x14ac:dyDescent="0.45">
      <c r="A3" s="6" t="s">
        <v>321</v>
      </c>
    </row>
    <row r="4" spans="1:10" s="8" customFormat="1" ht="20.149999999999999" customHeight="1" x14ac:dyDescent="0.45">
      <c r="A4" s="6" t="s">
        <v>331</v>
      </c>
    </row>
    <row r="5" spans="1:10" ht="14.5" x14ac:dyDescent="0.35">
      <c r="A5" s="5"/>
    </row>
    <row r="6" spans="1:10" ht="14.5" x14ac:dyDescent="0.35">
      <c r="A6" s="5" t="s">
        <v>330</v>
      </c>
    </row>
    <row r="7" spans="1:10" s="255" customFormat="1" ht="20.149999999999999" customHeight="1" x14ac:dyDescent="0.55000000000000004">
      <c r="C7" s="621" t="s">
        <v>1113</v>
      </c>
      <c r="D7" s="595" t="s">
        <v>1080</v>
      </c>
      <c r="E7" s="505" t="s">
        <v>314</v>
      </c>
      <c r="F7" s="515" t="s">
        <v>270</v>
      </c>
      <c r="G7" s="505" t="s">
        <v>127</v>
      </c>
      <c r="H7" s="505" t="s">
        <v>2</v>
      </c>
      <c r="I7" s="505" t="s">
        <v>276</v>
      </c>
      <c r="J7" s="505" t="s">
        <v>271</v>
      </c>
    </row>
    <row r="8" spans="1:10" s="255" customFormat="1" ht="20.149999999999999" customHeight="1" x14ac:dyDescent="0.55000000000000004">
      <c r="A8" s="197" t="s">
        <v>332</v>
      </c>
      <c r="B8" s="192" t="s">
        <v>324</v>
      </c>
      <c r="C8" s="581">
        <v>797</v>
      </c>
      <c r="D8" s="581">
        <v>809</v>
      </c>
      <c r="E8" s="64">
        <v>822</v>
      </c>
      <c r="F8" s="64">
        <v>1092</v>
      </c>
      <c r="G8" s="64">
        <v>920</v>
      </c>
      <c r="H8" s="64">
        <v>928</v>
      </c>
      <c r="I8" s="64">
        <v>932</v>
      </c>
      <c r="J8" s="65">
        <v>896</v>
      </c>
    </row>
    <row r="9" spans="1:10" s="255" customFormat="1" ht="20.149999999999999" customHeight="1" x14ac:dyDescent="0.55000000000000004">
      <c r="A9" s="198"/>
      <c r="B9" s="210" t="s">
        <v>325</v>
      </c>
      <c r="C9" s="593">
        <v>15.8</v>
      </c>
      <c r="D9" s="593">
        <v>16.100000000000001</v>
      </c>
      <c r="E9" s="212">
        <v>15.37</v>
      </c>
      <c r="F9" s="212">
        <v>16.32</v>
      </c>
      <c r="G9" s="212">
        <v>22.453659999999999</v>
      </c>
      <c r="H9" s="212">
        <v>27</v>
      </c>
      <c r="I9" s="212">
        <v>38.831600000000002</v>
      </c>
      <c r="J9" s="213">
        <v>16.7012</v>
      </c>
    </row>
    <row r="10" spans="1:10" s="255" customFormat="1" ht="20.149999999999999" customHeight="1" x14ac:dyDescent="0.55000000000000004">
      <c r="A10" s="197" t="s">
        <v>333</v>
      </c>
      <c r="B10" s="192" t="s">
        <v>324</v>
      </c>
      <c r="C10" s="581">
        <v>44</v>
      </c>
      <c r="D10" s="581">
        <v>164</v>
      </c>
      <c r="E10" s="64">
        <v>18</v>
      </c>
      <c r="F10" s="64">
        <v>27</v>
      </c>
      <c r="G10" s="64">
        <v>28</v>
      </c>
      <c r="H10" s="64">
        <v>21</v>
      </c>
      <c r="I10" s="64">
        <v>23</v>
      </c>
      <c r="J10" s="65">
        <v>71</v>
      </c>
    </row>
    <row r="11" spans="1:10" s="255" customFormat="1" ht="20.149999999999999" customHeight="1" x14ac:dyDescent="0.55000000000000004">
      <c r="A11" s="199"/>
      <c r="B11" s="194" t="s">
        <v>325</v>
      </c>
      <c r="C11" s="78">
        <v>15.7</v>
      </c>
      <c r="D11" s="78">
        <v>33.130000000000003</v>
      </c>
      <c r="E11" s="67">
        <v>0.97</v>
      </c>
      <c r="F11" s="67">
        <v>0.48</v>
      </c>
      <c r="G11" s="67">
        <v>0.31470799999999999</v>
      </c>
      <c r="H11" s="67">
        <v>42</v>
      </c>
      <c r="I11" s="67">
        <v>0.75080000000000002</v>
      </c>
      <c r="J11" s="68">
        <v>1.8811</v>
      </c>
    </row>
    <row r="12" spans="1:10" s="255" customFormat="1" ht="20.149999999999999" customHeight="1" x14ac:dyDescent="0.55000000000000004">
      <c r="A12" s="197" t="s">
        <v>334</v>
      </c>
      <c r="B12" s="192" t="s">
        <v>324</v>
      </c>
      <c r="C12" s="581">
        <v>18</v>
      </c>
      <c r="D12" s="581">
        <v>36</v>
      </c>
      <c r="E12" s="64">
        <v>24</v>
      </c>
      <c r="F12" s="64">
        <v>23</v>
      </c>
      <c r="G12" s="64">
        <v>34</v>
      </c>
      <c r="H12" s="64">
        <v>265</v>
      </c>
      <c r="I12" s="64">
        <v>41</v>
      </c>
      <c r="J12" s="65">
        <v>28</v>
      </c>
    </row>
    <row r="13" spans="1:10" s="255" customFormat="1" ht="20.149999999999999" customHeight="1" x14ac:dyDescent="0.55000000000000004">
      <c r="A13" s="198"/>
      <c r="B13" s="210" t="s">
        <v>325</v>
      </c>
      <c r="C13" s="593">
        <v>0.45</v>
      </c>
      <c r="D13" s="593">
        <v>0.76</v>
      </c>
      <c r="E13" s="212">
        <v>0.4</v>
      </c>
      <c r="F13" s="212">
        <v>0.4</v>
      </c>
      <c r="G13" s="212">
        <v>0.38247900000000001</v>
      </c>
      <c r="H13" s="212">
        <v>36</v>
      </c>
      <c r="I13" s="212">
        <v>1.3401000000000001</v>
      </c>
      <c r="J13" s="213">
        <v>0.68149999999999999</v>
      </c>
    </row>
    <row r="14" spans="1:10" s="255" customFormat="1" ht="20.149999999999999" customHeight="1" x14ac:dyDescent="0.55000000000000004">
      <c r="A14" s="197" t="s">
        <v>335</v>
      </c>
      <c r="B14" s="192" t="s">
        <v>324</v>
      </c>
      <c r="C14" s="581">
        <v>14</v>
      </c>
      <c r="D14" s="581">
        <v>12</v>
      </c>
      <c r="E14" s="64">
        <v>14</v>
      </c>
      <c r="F14" s="64">
        <v>16</v>
      </c>
      <c r="G14" s="64">
        <v>16</v>
      </c>
      <c r="H14" s="64">
        <v>16</v>
      </c>
      <c r="I14" s="64">
        <v>16</v>
      </c>
      <c r="J14" s="65">
        <v>16</v>
      </c>
    </row>
    <row r="15" spans="1:10" s="255" customFormat="1" ht="20.149999999999999" customHeight="1" x14ac:dyDescent="0.55000000000000004">
      <c r="A15" s="199"/>
      <c r="B15" s="194" t="s">
        <v>325</v>
      </c>
      <c r="C15" s="594">
        <v>0.2</v>
      </c>
      <c r="D15" s="594">
        <v>0.21</v>
      </c>
      <c r="E15" s="214">
        <v>0.23</v>
      </c>
      <c r="F15" s="214">
        <v>0.24</v>
      </c>
      <c r="G15" s="214">
        <v>0.24</v>
      </c>
      <c r="H15" s="214">
        <v>0.2</v>
      </c>
      <c r="I15" s="214">
        <v>0.25569999999999998</v>
      </c>
      <c r="J15" s="215">
        <v>0.26369999999999999</v>
      </c>
    </row>
    <row r="16" spans="1:10" s="255" customFormat="1" ht="20.149999999999999" customHeight="1" x14ac:dyDescent="0.55000000000000004">
      <c r="A16" s="197" t="s">
        <v>336</v>
      </c>
      <c r="B16" s="192" t="s">
        <v>324</v>
      </c>
      <c r="C16" s="581">
        <v>64</v>
      </c>
      <c r="D16" s="581">
        <v>39</v>
      </c>
      <c r="E16" s="64">
        <v>29</v>
      </c>
      <c r="F16" s="64">
        <v>26</v>
      </c>
      <c r="G16" s="64">
        <v>20</v>
      </c>
      <c r="H16" s="64">
        <v>30</v>
      </c>
      <c r="I16" s="64">
        <v>16</v>
      </c>
      <c r="J16" s="65">
        <v>41</v>
      </c>
    </row>
    <row r="17" spans="1:10" s="255" customFormat="1" ht="20.149999999999999" customHeight="1" x14ac:dyDescent="0.55000000000000004">
      <c r="A17" s="211" t="s">
        <v>337</v>
      </c>
      <c r="B17" s="194" t="s">
        <v>325</v>
      </c>
      <c r="C17" s="78">
        <v>108.36</v>
      </c>
      <c r="D17" s="78">
        <v>38.909999999999997</v>
      </c>
      <c r="E17" s="67">
        <v>24.98</v>
      </c>
      <c r="F17" s="67">
        <v>111.95</v>
      </c>
      <c r="G17" s="67">
        <v>2.74</v>
      </c>
      <c r="H17" s="67">
        <v>73</v>
      </c>
      <c r="I17" s="67">
        <v>25.164400000000001</v>
      </c>
      <c r="J17" s="68">
        <v>114.1331</v>
      </c>
    </row>
    <row r="18" spans="1:10" s="255" customFormat="1" ht="20.149999999999999" customHeight="1" x14ac:dyDescent="0.55000000000000004">
      <c r="A18" s="197" t="s">
        <v>338</v>
      </c>
      <c r="B18" s="192" t="s">
        <v>324</v>
      </c>
      <c r="C18" s="581">
        <v>9868</v>
      </c>
      <c r="D18" s="581">
        <v>9238</v>
      </c>
      <c r="E18" s="64">
        <v>9227</v>
      </c>
      <c r="F18" s="64">
        <v>9231</v>
      </c>
      <c r="G18" s="64">
        <v>9919</v>
      </c>
      <c r="H18" s="64">
        <v>9511</v>
      </c>
      <c r="I18" s="64">
        <v>1076</v>
      </c>
      <c r="J18" s="65">
        <v>1104</v>
      </c>
    </row>
    <row r="19" spans="1:10" s="255" customFormat="1" ht="20.149999999999999" customHeight="1" x14ac:dyDescent="0.55000000000000004">
      <c r="A19" s="199"/>
      <c r="B19" s="194" t="s">
        <v>325</v>
      </c>
      <c r="C19" s="78">
        <v>192.1</v>
      </c>
      <c r="D19" s="78">
        <v>192.28</v>
      </c>
      <c r="E19" s="67">
        <v>190.91</v>
      </c>
      <c r="F19" s="67">
        <v>193.09</v>
      </c>
      <c r="G19" s="67">
        <v>193.99</v>
      </c>
      <c r="H19" s="67">
        <v>195</v>
      </c>
      <c r="I19" s="67">
        <v>192.4933</v>
      </c>
      <c r="J19" s="68">
        <v>192.94710000000001</v>
      </c>
    </row>
    <row r="20" spans="1:10" s="255" customFormat="1" ht="20.149999999999999" customHeight="1" x14ac:dyDescent="0.55000000000000004">
      <c r="A20" s="197" t="s">
        <v>339</v>
      </c>
      <c r="B20" s="192" t="s">
        <v>324</v>
      </c>
      <c r="C20" s="581">
        <v>12</v>
      </c>
      <c r="D20" s="581">
        <v>12</v>
      </c>
      <c r="E20" s="64">
        <v>12</v>
      </c>
      <c r="F20" s="64">
        <v>12</v>
      </c>
      <c r="G20" s="64">
        <v>12</v>
      </c>
      <c r="H20" s="64">
        <v>12</v>
      </c>
      <c r="I20" s="64">
        <v>11</v>
      </c>
      <c r="J20" s="65">
        <v>10</v>
      </c>
    </row>
    <row r="21" spans="1:10" s="255" customFormat="1" ht="20.149999999999999" customHeight="1" x14ac:dyDescent="0.55000000000000004">
      <c r="A21" s="199"/>
      <c r="B21" s="194" t="s">
        <v>325</v>
      </c>
      <c r="C21" s="78">
        <v>8.81</v>
      </c>
      <c r="D21" s="78">
        <v>8.83</v>
      </c>
      <c r="E21" s="67">
        <v>8.73</v>
      </c>
      <c r="F21" s="67">
        <v>8.5299999999999994</v>
      </c>
      <c r="G21" s="67">
        <v>8.35</v>
      </c>
      <c r="H21" s="67">
        <v>8</v>
      </c>
      <c r="I21" s="67">
        <v>7.1227999999999998</v>
      </c>
      <c r="J21" s="68">
        <v>7.0762</v>
      </c>
    </row>
    <row r="22" spans="1:10" s="255" customFormat="1" ht="20.149999999999999" customHeight="1" x14ac:dyDescent="0.55000000000000004">
      <c r="A22" s="197" t="s">
        <v>340</v>
      </c>
      <c r="B22" s="192" t="s">
        <v>324</v>
      </c>
      <c r="C22" s="581">
        <v>89</v>
      </c>
      <c r="D22" s="581">
        <v>88</v>
      </c>
      <c r="E22" s="64">
        <v>89</v>
      </c>
      <c r="F22" s="64">
        <v>99</v>
      </c>
      <c r="G22" s="64">
        <v>119</v>
      </c>
      <c r="H22" s="64">
        <v>114</v>
      </c>
      <c r="I22" s="64">
        <v>124</v>
      </c>
      <c r="J22" s="65">
        <v>128</v>
      </c>
    </row>
    <row r="23" spans="1:10" s="255" customFormat="1" ht="20.149999999999999" customHeight="1" x14ac:dyDescent="0.55000000000000004">
      <c r="A23" s="199"/>
      <c r="B23" s="194" t="s">
        <v>325</v>
      </c>
      <c r="C23" s="78">
        <v>19.48</v>
      </c>
      <c r="D23" s="78">
        <v>19.260000000000002</v>
      </c>
      <c r="E23" s="67">
        <v>18.72</v>
      </c>
      <c r="F23" s="67">
        <v>21.3</v>
      </c>
      <c r="G23" s="67">
        <v>22.98</v>
      </c>
      <c r="H23" s="67">
        <v>23</v>
      </c>
      <c r="I23" s="67">
        <v>23.9542</v>
      </c>
      <c r="J23" s="68">
        <v>24.485399999999998</v>
      </c>
    </row>
    <row r="24" spans="1:10" s="255" customFormat="1" ht="20.149999999999999" customHeight="1" x14ac:dyDescent="0.55000000000000004">
      <c r="A24" s="197" t="s">
        <v>341</v>
      </c>
      <c r="B24" s="192" t="s">
        <v>324</v>
      </c>
      <c r="C24" s="581">
        <v>22</v>
      </c>
      <c r="D24" s="581">
        <v>38</v>
      </c>
      <c r="E24" s="64">
        <v>22</v>
      </c>
      <c r="F24" s="64">
        <v>18</v>
      </c>
      <c r="G24" s="64">
        <v>58</v>
      </c>
      <c r="H24" s="64">
        <v>46</v>
      </c>
      <c r="I24" s="64">
        <v>61</v>
      </c>
      <c r="J24" s="65">
        <v>25</v>
      </c>
    </row>
    <row r="25" spans="1:10" s="255" customFormat="1" ht="20.149999999999999" customHeight="1" x14ac:dyDescent="0.55000000000000004">
      <c r="A25" s="199" t="s">
        <v>342</v>
      </c>
      <c r="B25" s="194" t="s">
        <v>325</v>
      </c>
      <c r="C25" s="78">
        <v>1.2</v>
      </c>
      <c r="D25" s="78">
        <v>7.02</v>
      </c>
      <c r="E25" s="67">
        <v>0.37</v>
      </c>
      <c r="F25" s="67">
        <v>9.5299999999999994</v>
      </c>
      <c r="G25" s="67">
        <v>13.47</v>
      </c>
      <c r="H25" s="67">
        <v>188</v>
      </c>
      <c r="I25" s="67">
        <v>68.113100000000003</v>
      </c>
      <c r="J25" s="68">
        <v>36.158900000000003</v>
      </c>
    </row>
    <row r="26" spans="1:10" s="255" customFormat="1" ht="20.149999999999999" customHeight="1" x14ac:dyDescent="0.55000000000000004">
      <c r="A26" s="197" t="s">
        <v>343</v>
      </c>
      <c r="B26" s="192" t="s">
        <v>324</v>
      </c>
      <c r="C26" s="581">
        <v>3</v>
      </c>
      <c r="D26" s="581">
        <v>3</v>
      </c>
      <c r="E26" s="64">
        <v>2</v>
      </c>
      <c r="F26" s="64">
        <v>3</v>
      </c>
      <c r="G26" s="64">
        <v>3</v>
      </c>
      <c r="H26" s="64">
        <v>4</v>
      </c>
      <c r="I26" s="64">
        <v>4</v>
      </c>
      <c r="J26" s="65">
        <v>6</v>
      </c>
    </row>
    <row r="27" spans="1:10" s="255" customFormat="1" ht="20.149999999999999" customHeight="1" x14ac:dyDescent="0.55000000000000004">
      <c r="A27" s="199"/>
      <c r="B27" s="194" t="s">
        <v>325</v>
      </c>
      <c r="C27" s="594">
        <v>0.06</v>
      </c>
      <c r="D27" s="594">
        <v>7.0000000000000007E-2</v>
      </c>
      <c r="E27" s="214">
        <v>0</v>
      </c>
      <c r="F27" s="214">
        <v>0.08</v>
      </c>
      <c r="G27" s="214">
        <v>0.09</v>
      </c>
      <c r="H27" s="214">
        <v>0.1</v>
      </c>
      <c r="I27" s="214">
        <v>0.14000000000000001</v>
      </c>
      <c r="J27" s="215">
        <v>0.19750000000000001</v>
      </c>
    </row>
    <row r="28" spans="1:10" s="255" customFormat="1" ht="20.149999999999999" customHeight="1" x14ac:dyDescent="0.55000000000000004">
      <c r="A28" s="197" t="s">
        <v>344</v>
      </c>
      <c r="B28" s="192" t="s">
        <v>324</v>
      </c>
      <c r="C28" s="581">
        <v>35</v>
      </c>
      <c r="D28" s="581">
        <v>35</v>
      </c>
      <c r="E28" s="64">
        <v>35</v>
      </c>
      <c r="F28" s="64">
        <v>35</v>
      </c>
      <c r="G28" s="64">
        <v>37</v>
      </c>
      <c r="H28" s="64">
        <v>33</v>
      </c>
      <c r="I28" s="64">
        <v>33</v>
      </c>
      <c r="J28" s="65">
        <v>34</v>
      </c>
    </row>
    <row r="29" spans="1:10" s="255" customFormat="1" ht="20.149999999999999" customHeight="1" x14ac:dyDescent="0.55000000000000004">
      <c r="A29" s="199"/>
      <c r="B29" s="194" t="s">
        <v>325</v>
      </c>
      <c r="C29" s="78">
        <v>9.0399999999999991</v>
      </c>
      <c r="D29" s="78">
        <v>9.0500000000000007</v>
      </c>
      <c r="E29" s="67">
        <v>9.0500000000000007</v>
      </c>
      <c r="F29" s="67">
        <v>9.65</v>
      </c>
      <c r="G29" s="67">
        <v>9.66</v>
      </c>
      <c r="H29" s="67">
        <v>9</v>
      </c>
      <c r="I29" s="67">
        <v>8.6867000000000001</v>
      </c>
      <c r="J29" s="68">
        <v>8.6893999999999991</v>
      </c>
    </row>
    <row r="30" spans="1:10" s="255" customFormat="1" ht="20.149999999999999" customHeight="1" x14ac:dyDescent="0.55000000000000004">
      <c r="A30" s="197" t="s">
        <v>345</v>
      </c>
      <c r="B30" s="192" t="s">
        <v>324</v>
      </c>
      <c r="C30" s="581">
        <v>21</v>
      </c>
      <c r="D30" s="581">
        <v>21</v>
      </c>
      <c r="E30" s="64">
        <v>21</v>
      </c>
      <c r="F30" s="64">
        <v>23</v>
      </c>
      <c r="G30" s="64">
        <v>27</v>
      </c>
      <c r="H30" s="64">
        <v>27</v>
      </c>
      <c r="I30" s="64">
        <v>26</v>
      </c>
      <c r="J30" s="65">
        <v>27</v>
      </c>
    </row>
    <row r="31" spans="1:10" s="255" customFormat="1" ht="20.149999999999999" customHeight="1" x14ac:dyDescent="0.55000000000000004">
      <c r="A31" s="199"/>
      <c r="B31" s="194" t="s">
        <v>325</v>
      </c>
      <c r="C31" s="78">
        <v>1.79</v>
      </c>
      <c r="D31" s="78">
        <v>1.78</v>
      </c>
      <c r="E31" s="67">
        <v>1.77</v>
      </c>
      <c r="F31" s="67">
        <v>3.17</v>
      </c>
      <c r="G31" s="67">
        <v>3.21</v>
      </c>
      <c r="H31" s="67">
        <v>3</v>
      </c>
      <c r="I31" s="67">
        <v>2.9799000000000002</v>
      </c>
      <c r="J31" s="68">
        <v>4.8147000000000002</v>
      </c>
    </row>
    <row r="32" spans="1:10" s="255" customFormat="1" ht="20.149999999999999" customHeight="1" x14ac:dyDescent="0.55000000000000004">
      <c r="A32" s="197" t="s">
        <v>346</v>
      </c>
      <c r="B32" s="192" t="s">
        <v>324</v>
      </c>
      <c r="C32" s="581">
        <v>25</v>
      </c>
      <c r="D32" s="581">
        <v>26</v>
      </c>
      <c r="E32" s="64">
        <v>28</v>
      </c>
      <c r="F32" s="64">
        <v>27</v>
      </c>
      <c r="G32" s="64">
        <v>30</v>
      </c>
      <c r="H32" s="64">
        <v>29</v>
      </c>
      <c r="I32" s="64">
        <v>29</v>
      </c>
      <c r="J32" s="65">
        <v>28</v>
      </c>
    </row>
    <row r="33" spans="1:10" s="255" customFormat="1" ht="20.149999999999999" customHeight="1" x14ac:dyDescent="0.55000000000000004">
      <c r="A33" s="199"/>
      <c r="B33" s="194" t="s">
        <v>325</v>
      </c>
      <c r="C33" s="78">
        <v>4.17</v>
      </c>
      <c r="D33" s="78">
        <v>4.4400000000000004</v>
      </c>
      <c r="E33" s="67">
        <v>4.82</v>
      </c>
      <c r="F33" s="67">
        <v>5.15</v>
      </c>
      <c r="G33" s="67">
        <v>4.97</v>
      </c>
      <c r="H33" s="67">
        <v>5</v>
      </c>
      <c r="I33" s="67">
        <v>5.4423000000000004</v>
      </c>
      <c r="J33" s="68">
        <v>5.7244000000000002</v>
      </c>
    </row>
    <row r="34" spans="1:10" s="255" customFormat="1" ht="20.149999999999999" customHeight="1" x14ac:dyDescent="0.55000000000000004">
      <c r="A34" s="197" t="s">
        <v>347</v>
      </c>
      <c r="B34" s="192" t="s">
        <v>324</v>
      </c>
      <c r="C34" s="581">
        <v>36</v>
      </c>
      <c r="D34" s="581">
        <v>36</v>
      </c>
      <c r="E34" s="64">
        <v>33</v>
      </c>
      <c r="F34" s="64">
        <v>38</v>
      </c>
      <c r="G34" s="64">
        <v>41</v>
      </c>
      <c r="H34" s="64">
        <v>47</v>
      </c>
      <c r="I34" s="64">
        <v>52</v>
      </c>
      <c r="J34" s="65">
        <v>46</v>
      </c>
    </row>
    <row r="35" spans="1:10" s="255" customFormat="1" ht="20.149999999999999" customHeight="1" thickBot="1" x14ac:dyDescent="0.6">
      <c r="A35" s="409"/>
      <c r="B35" s="195" t="s">
        <v>325</v>
      </c>
      <c r="C35" s="583">
        <v>34.53</v>
      </c>
      <c r="D35" s="583">
        <v>35.46</v>
      </c>
      <c r="E35" s="71">
        <v>34.01</v>
      </c>
      <c r="F35" s="71">
        <v>35.67</v>
      </c>
      <c r="G35" s="71">
        <v>36.44</v>
      </c>
      <c r="H35" s="71">
        <v>37</v>
      </c>
      <c r="I35" s="71">
        <v>41.3123</v>
      </c>
      <c r="J35" s="72">
        <v>40.943600000000004</v>
      </c>
    </row>
    <row r="36" spans="1:10" s="255" customFormat="1" ht="20.149999999999999" customHeight="1" thickTop="1" x14ac:dyDescent="0.55000000000000004">
      <c r="A36" s="407" t="s">
        <v>113</v>
      </c>
      <c r="B36" s="191" t="s">
        <v>324</v>
      </c>
      <c r="C36" s="507">
        <f t="shared" ref="C36:E37" si="0">C8+C10+C12+C14+C16+C18+C20+C22+C24+C26+C28+C30+C32+C34</f>
        <v>11048</v>
      </c>
      <c r="D36" s="507">
        <f t="shared" si="0"/>
        <v>10557</v>
      </c>
      <c r="E36" s="508">
        <f t="shared" si="0"/>
        <v>10376</v>
      </c>
      <c r="F36" s="508">
        <v>10670</v>
      </c>
      <c r="G36" s="508">
        <f t="shared" ref="G36:J36" si="1">G8+G10+G12+G14+G16+G18+G20+G22+G24+G26+G28+G30+G32+G34</f>
        <v>11264</v>
      </c>
      <c r="H36" s="508">
        <f t="shared" si="1"/>
        <v>11083</v>
      </c>
      <c r="I36" s="508">
        <f t="shared" si="1"/>
        <v>2444</v>
      </c>
      <c r="J36" s="509">
        <f t="shared" si="1"/>
        <v>2460</v>
      </c>
    </row>
    <row r="37" spans="1:10" s="255" customFormat="1" ht="20.149999999999999" customHeight="1" x14ac:dyDescent="0.55000000000000004">
      <c r="A37" s="408"/>
      <c r="B37" s="194" t="s">
        <v>325</v>
      </c>
      <c r="C37" s="78">
        <f t="shared" si="0"/>
        <v>411.69000000000005</v>
      </c>
      <c r="D37" s="78">
        <f t="shared" si="0"/>
        <v>367.2999999999999</v>
      </c>
      <c r="E37" s="67">
        <f t="shared" si="0"/>
        <v>310.33</v>
      </c>
      <c r="F37" s="67">
        <v>415.55999999999995</v>
      </c>
      <c r="G37" s="67">
        <f t="shared" ref="G37:J37" si="2">G9+G11+G13+G15+G17+G19+G21+G23+G25+G27+G29+G31+G33+G35</f>
        <v>319.29084699999999</v>
      </c>
      <c r="H37" s="67">
        <f t="shared" si="2"/>
        <v>646.30000000000007</v>
      </c>
      <c r="I37" s="67">
        <f t="shared" si="2"/>
        <v>416.5872</v>
      </c>
      <c r="J37" s="68">
        <f t="shared" si="2"/>
        <v>454.69780000000003</v>
      </c>
    </row>
  </sheetData>
  <customSheetViews>
    <customSheetView guid="{501209ED-4B79-4E52-B95E-748E5E77E24F}">
      <pane xSplit="2" ySplit="6" topLeftCell="C8" activePane="bottomRight" state="frozen"/>
      <selection pane="bottomRight" activeCell="C8" sqref="C8"/>
      <pageMargins left="0.59055118110236227" right="0.59055118110236227" top="0.59055118110236227" bottom="0.59055118110236227" header="0.31496062992125984" footer="0.31496062992125984"/>
      <printOptions horizontalCentered="1"/>
      <pageSetup paperSize="9" scale="50" orientation="portrait" r:id="rId1"/>
    </customSheetView>
  </customSheetViews>
  <phoneticPr fontId="1"/>
  <conditionalFormatting sqref="D8:D35">
    <cfRule type="containsBlanks" dxfId="1" priority="2">
      <formula>LEN(TRIM(D8))=0</formula>
    </cfRule>
  </conditionalFormatting>
  <conditionalFormatting sqref="C8:C35">
    <cfRule type="containsBlanks" dxfId="0" priority="1">
      <formula>LEN(TRIM(C8))=0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0"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zoomScaleNormal="100" workbookViewId="0"/>
  </sheetViews>
  <sheetFormatPr defaultColWidth="8.58203125" defaultRowHeight="14" x14ac:dyDescent="0.3"/>
  <cols>
    <col min="1" max="2" width="3.58203125" style="1" customWidth="1"/>
    <col min="3" max="3" width="21.83203125" style="1" customWidth="1"/>
    <col min="4" max="4" width="10.33203125" style="1" customWidth="1"/>
    <col min="5" max="5" width="10.33203125" style="1" bestFit="1" customWidth="1"/>
    <col min="6" max="6" width="10.33203125" style="2" bestFit="1" customWidth="1"/>
    <col min="7" max="26" width="10.33203125" style="1" bestFit="1" customWidth="1"/>
    <col min="27" max="27" width="11.08203125" style="1" bestFit="1" customWidth="1"/>
    <col min="28" max="16384" width="8.58203125" style="1"/>
  </cols>
  <sheetData>
    <row r="1" spans="1:27" ht="14.5" x14ac:dyDescent="0.3">
      <c r="A1" s="432" t="s">
        <v>438</v>
      </c>
      <c r="B1" s="432"/>
      <c r="C1" s="432"/>
    </row>
    <row r="3" spans="1:27" s="253" customFormat="1" ht="20.149999999999999" customHeight="1" x14ac:dyDescent="0.55000000000000004">
      <c r="A3" s="252" t="s">
        <v>321</v>
      </c>
      <c r="B3" s="252"/>
      <c r="C3" s="252"/>
    </row>
    <row r="4" spans="1:27" s="253" customFormat="1" ht="20.149999999999999" customHeight="1" x14ac:dyDescent="0.55000000000000004">
      <c r="A4" s="252" t="s">
        <v>348</v>
      </c>
      <c r="B4" s="252"/>
      <c r="C4" s="252"/>
    </row>
    <row r="5" spans="1:27" s="255" customFormat="1" ht="14.5" x14ac:dyDescent="0.55000000000000004">
      <c r="A5" s="22"/>
      <c r="B5" s="22"/>
      <c r="C5" s="22"/>
      <c r="F5" s="254"/>
    </row>
    <row r="6" spans="1:27" s="255" customFormat="1" ht="14.5" x14ac:dyDescent="0.55000000000000004">
      <c r="A6" s="22" t="s">
        <v>394</v>
      </c>
      <c r="B6" s="22"/>
      <c r="C6" s="22"/>
      <c r="F6" s="254"/>
    </row>
    <row r="7" spans="1:27" s="255" customFormat="1" ht="14.5" x14ac:dyDescent="0.55000000000000004">
      <c r="A7" s="22"/>
      <c r="B7" s="22"/>
      <c r="C7" s="22"/>
      <c r="F7" s="254"/>
    </row>
    <row r="8" spans="1:27" s="255" customFormat="1" ht="14.5" x14ac:dyDescent="0.55000000000000004">
      <c r="A8" s="22" t="s">
        <v>349</v>
      </c>
      <c r="F8" s="254"/>
    </row>
    <row r="9" spans="1:27" s="255" customFormat="1" ht="20.149999999999999" customHeight="1" x14ac:dyDescent="0.55000000000000004"/>
    <row r="10" spans="1:27" s="255" customFormat="1" ht="20.149999999999999" customHeight="1" x14ac:dyDescent="0.55000000000000004">
      <c r="A10" s="771" t="s">
        <v>372</v>
      </c>
      <c r="B10" s="772"/>
      <c r="C10" s="773"/>
      <c r="D10" s="267" t="s">
        <v>371</v>
      </c>
      <c r="E10" s="267" t="s">
        <v>370</v>
      </c>
      <c r="F10" s="267" t="s">
        <v>369</v>
      </c>
      <c r="G10" s="267" t="s">
        <v>368</v>
      </c>
      <c r="H10" s="267" t="s">
        <v>367</v>
      </c>
      <c r="I10" s="267" t="s">
        <v>366</v>
      </c>
      <c r="J10" s="267" t="s">
        <v>365</v>
      </c>
      <c r="K10" s="267" t="s">
        <v>364</v>
      </c>
      <c r="L10" s="267" t="s">
        <v>363</v>
      </c>
      <c r="M10" s="267" t="s">
        <v>362</v>
      </c>
      <c r="N10" s="267" t="s">
        <v>361</v>
      </c>
      <c r="O10" s="267" t="s">
        <v>360</v>
      </c>
      <c r="P10" s="267" t="s">
        <v>359</v>
      </c>
      <c r="Q10" s="267" t="s">
        <v>358</v>
      </c>
      <c r="R10" s="267" t="s">
        <v>357</v>
      </c>
      <c r="S10" s="267" t="s">
        <v>356</v>
      </c>
      <c r="T10" s="267" t="s">
        <v>355</v>
      </c>
      <c r="U10" s="267" t="s">
        <v>354</v>
      </c>
      <c r="V10" s="267" t="s">
        <v>353</v>
      </c>
      <c r="W10" s="267" t="s">
        <v>352</v>
      </c>
      <c r="X10" s="267" t="s">
        <v>351</v>
      </c>
      <c r="Y10" s="267" t="s">
        <v>350</v>
      </c>
      <c r="Z10" s="267" t="s">
        <v>271</v>
      </c>
      <c r="AA10" s="277" t="s">
        <v>113</v>
      </c>
    </row>
    <row r="11" spans="1:27" s="255" customFormat="1" ht="20.149999999999999" customHeight="1" x14ac:dyDescent="0.55000000000000004">
      <c r="A11" s="777" t="s">
        <v>373</v>
      </c>
      <c r="B11" s="778"/>
      <c r="C11" s="778"/>
      <c r="D11" s="218">
        <f>D12</f>
        <v>990843</v>
      </c>
      <c r="E11" s="221">
        <f>E12</f>
        <v>4986971</v>
      </c>
      <c r="F11" s="221">
        <f>F12</f>
        <v>498614</v>
      </c>
      <c r="G11" s="221"/>
      <c r="H11" s="221"/>
      <c r="I11" s="221"/>
      <c r="J11" s="221"/>
      <c r="K11" s="221"/>
      <c r="L11" s="221"/>
      <c r="M11" s="221"/>
      <c r="N11" s="221"/>
      <c r="O11" s="221"/>
      <c r="P11" s="221"/>
      <c r="Q11" s="221"/>
      <c r="R11" s="221"/>
      <c r="S11" s="221"/>
      <c r="T11" s="221"/>
      <c r="U11" s="221"/>
      <c r="V11" s="221"/>
      <c r="W11" s="221"/>
      <c r="X11" s="221"/>
      <c r="Y11" s="221"/>
      <c r="Z11" s="221"/>
      <c r="AA11" s="414">
        <f>SUM(D11:Z11)</f>
        <v>6476428</v>
      </c>
    </row>
    <row r="12" spans="1:27" s="255" customFormat="1" ht="20.149999999999999" customHeight="1" x14ac:dyDescent="0.55000000000000004">
      <c r="A12" s="227"/>
      <c r="B12" s="768" t="s">
        <v>374</v>
      </c>
      <c r="C12" s="768"/>
      <c r="D12" s="220">
        <v>990843</v>
      </c>
      <c r="E12" s="228">
        <v>4986971</v>
      </c>
      <c r="F12" s="228">
        <v>498614</v>
      </c>
      <c r="G12" s="228"/>
      <c r="H12" s="228"/>
      <c r="I12" s="228"/>
      <c r="J12" s="228"/>
      <c r="K12" s="228"/>
      <c r="L12" s="228"/>
      <c r="M12" s="228"/>
      <c r="N12" s="228"/>
      <c r="O12" s="228"/>
      <c r="P12" s="228"/>
      <c r="Q12" s="228"/>
      <c r="R12" s="228"/>
      <c r="S12" s="228"/>
      <c r="T12" s="228"/>
      <c r="U12" s="228"/>
      <c r="V12" s="228"/>
      <c r="W12" s="228"/>
      <c r="X12" s="228"/>
      <c r="Y12" s="228"/>
      <c r="Z12" s="228"/>
      <c r="AA12" s="415">
        <f t="shared" ref="AA12:AA53" si="0">SUM(D12:Z12)</f>
        <v>6476428</v>
      </c>
    </row>
    <row r="13" spans="1:27" s="255" customFormat="1" ht="20.149999999999999" customHeight="1" x14ac:dyDescent="0.55000000000000004">
      <c r="A13" s="779" t="s">
        <v>375</v>
      </c>
      <c r="B13" s="780"/>
      <c r="C13" s="780"/>
      <c r="D13" s="218">
        <f t="shared" ref="D13:U13" si="1">D14+D18+D21+D23</f>
        <v>1348255</v>
      </c>
      <c r="E13" s="221">
        <f t="shared" si="1"/>
        <v>19326407</v>
      </c>
      <c r="F13" s="221">
        <f t="shared" si="1"/>
        <v>2574608</v>
      </c>
      <c r="G13" s="221">
        <f t="shared" si="1"/>
        <v>2372</v>
      </c>
      <c r="H13" s="221">
        <f t="shared" si="1"/>
        <v>35284</v>
      </c>
      <c r="I13" s="221">
        <f t="shared" si="1"/>
        <v>43532</v>
      </c>
      <c r="J13" s="221">
        <f t="shared" si="1"/>
        <v>37071</v>
      </c>
      <c r="K13" s="221">
        <f t="shared" si="1"/>
        <v>39219</v>
      </c>
      <c r="L13" s="221">
        <f t="shared" si="1"/>
        <v>41164</v>
      </c>
      <c r="M13" s="221">
        <f t="shared" si="1"/>
        <v>32954</v>
      </c>
      <c r="N13" s="221">
        <f t="shared" si="1"/>
        <v>25791</v>
      </c>
      <c r="O13" s="221">
        <f t="shared" si="1"/>
        <v>22948</v>
      </c>
      <c r="P13" s="221">
        <f t="shared" si="1"/>
        <v>21037</v>
      </c>
      <c r="Q13" s="221">
        <f t="shared" si="1"/>
        <v>20145</v>
      </c>
      <c r="R13" s="221">
        <f t="shared" si="1"/>
        <v>1646</v>
      </c>
      <c r="S13" s="221">
        <f t="shared" si="1"/>
        <v>475</v>
      </c>
      <c r="T13" s="221">
        <f t="shared" si="1"/>
        <v>463</v>
      </c>
      <c r="U13" s="221">
        <f t="shared" si="1"/>
        <v>13</v>
      </c>
      <c r="V13" s="221"/>
      <c r="W13" s="221"/>
      <c r="X13" s="221"/>
      <c r="Y13" s="221"/>
      <c r="Z13" s="221"/>
      <c r="AA13" s="416">
        <f t="shared" si="0"/>
        <v>23573384</v>
      </c>
    </row>
    <row r="14" spans="1:27" s="255" customFormat="1" ht="20.149999999999999" customHeight="1" x14ac:dyDescent="0.55000000000000004">
      <c r="A14" s="222"/>
      <c r="B14" s="763" t="s">
        <v>374</v>
      </c>
      <c r="C14" s="763"/>
      <c r="D14" s="219">
        <f>SUM(D15:D17)</f>
        <v>1348255</v>
      </c>
      <c r="E14" s="219">
        <f t="shared" ref="E14:F14" si="2">SUM(E15:E17)</f>
        <v>11817907</v>
      </c>
      <c r="F14" s="219">
        <f t="shared" si="2"/>
        <v>629174</v>
      </c>
      <c r="G14" s="223"/>
      <c r="H14" s="223"/>
      <c r="I14" s="223"/>
      <c r="J14" s="223"/>
      <c r="K14" s="223"/>
      <c r="L14" s="223"/>
      <c r="M14" s="223"/>
      <c r="N14" s="223"/>
      <c r="O14" s="223"/>
      <c r="P14" s="223"/>
      <c r="Q14" s="223"/>
      <c r="R14" s="223"/>
      <c r="S14" s="223"/>
      <c r="T14" s="223"/>
      <c r="U14" s="223"/>
      <c r="V14" s="223"/>
      <c r="W14" s="223"/>
      <c r="X14" s="223"/>
      <c r="Y14" s="223"/>
      <c r="Z14" s="223"/>
      <c r="AA14" s="417">
        <f t="shared" si="0"/>
        <v>13795336</v>
      </c>
    </row>
    <row r="15" spans="1:27" s="255" customFormat="1" ht="20.149999999999999" customHeight="1" x14ac:dyDescent="0.55000000000000004">
      <c r="A15" s="222"/>
      <c r="B15" s="224"/>
      <c r="C15" s="224" t="s">
        <v>376</v>
      </c>
      <c r="D15" s="219"/>
      <c r="E15" s="223">
        <v>1775535</v>
      </c>
      <c r="F15" s="223">
        <v>629174</v>
      </c>
      <c r="G15" s="223"/>
      <c r="H15" s="223"/>
      <c r="I15" s="223"/>
      <c r="J15" s="223"/>
      <c r="K15" s="223"/>
      <c r="L15" s="223"/>
      <c r="M15" s="223"/>
      <c r="N15" s="223"/>
      <c r="O15" s="223"/>
      <c r="P15" s="223"/>
      <c r="Q15" s="223"/>
      <c r="R15" s="223"/>
      <c r="S15" s="223"/>
      <c r="T15" s="223"/>
      <c r="U15" s="223"/>
      <c r="V15" s="223"/>
      <c r="W15" s="223"/>
      <c r="X15" s="223"/>
      <c r="Y15" s="223"/>
      <c r="Z15" s="223"/>
      <c r="AA15" s="417">
        <f t="shared" si="0"/>
        <v>2404709</v>
      </c>
    </row>
    <row r="16" spans="1:27" s="255" customFormat="1" ht="20.149999999999999" customHeight="1" x14ac:dyDescent="0.55000000000000004">
      <c r="A16" s="222"/>
      <c r="B16" s="224"/>
      <c r="C16" s="224" t="s">
        <v>377</v>
      </c>
      <c r="D16" s="219">
        <v>1348255</v>
      </c>
      <c r="E16" s="223">
        <v>8248024</v>
      </c>
      <c r="F16" s="223"/>
      <c r="G16" s="223"/>
      <c r="H16" s="223"/>
      <c r="I16" s="223"/>
      <c r="J16" s="223"/>
      <c r="K16" s="223"/>
      <c r="L16" s="223"/>
      <c r="M16" s="223"/>
      <c r="N16" s="223"/>
      <c r="O16" s="223"/>
      <c r="P16" s="223"/>
      <c r="Q16" s="223"/>
      <c r="R16" s="223"/>
      <c r="S16" s="223"/>
      <c r="T16" s="223"/>
      <c r="U16" s="223"/>
      <c r="V16" s="223"/>
      <c r="W16" s="223"/>
      <c r="X16" s="223"/>
      <c r="Y16" s="223"/>
      <c r="Z16" s="223"/>
      <c r="AA16" s="417">
        <f t="shared" si="0"/>
        <v>9596279</v>
      </c>
    </row>
    <row r="17" spans="1:27" s="255" customFormat="1" ht="20.149999999999999" customHeight="1" x14ac:dyDescent="0.55000000000000004">
      <c r="A17" s="222"/>
      <c r="B17" s="224"/>
      <c r="C17" s="224" t="s">
        <v>378</v>
      </c>
      <c r="D17" s="219"/>
      <c r="E17" s="223">
        <v>1794348</v>
      </c>
      <c r="F17" s="223"/>
      <c r="G17" s="223"/>
      <c r="H17" s="223"/>
      <c r="I17" s="223"/>
      <c r="J17" s="223"/>
      <c r="K17" s="223"/>
      <c r="L17" s="223"/>
      <c r="M17" s="223"/>
      <c r="N17" s="223"/>
      <c r="O17" s="223"/>
      <c r="P17" s="223"/>
      <c r="Q17" s="223"/>
      <c r="R17" s="223"/>
      <c r="S17" s="223"/>
      <c r="T17" s="223"/>
      <c r="U17" s="223"/>
      <c r="V17" s="223"/>
      <c r="W17" s="223"/>
      <c r="X17" s="223"/>
      <c r="Y17" s="223"/>
      <c r="Z17" s="223"/>
      <c r="AA17" s="417">
        <f t="shared" si="0"/>
        <v>1794348</v>
      </c>
    </row>
    <row r="18" spans="1:27" s="255" customFormat="1" ht="20.149999999999999" customHeight="1" x14ac:dyDescent="0.55000000000000004">
      <c r="A18" s="222"/>
      <c r="B18" s="763" t="s">
        <v>379</v>
      </c>
      <c r="C18" s="763"/>
      <c r="D18" s="219"/>
      <c r="E18" s="223">
        <f>SUM(E19:E20)</f>
        <v>7508500</v>
      </c>
      <c r="F18" s="223">
        <f>SUM(F19:F20)</f>
        <v>1945434</v>
      </c>
      <c r="G18" s="223"/>
      <c r="H18" s="223"/>
      <c r="I18" s="223"/>
      <c r="J18" s="223"/>
      <c r="K18" s="223"/>
      <c r="L18" s="223"/>
      <c r="M18" s="223"/>
      <c r="N18" s="223"/>
      <c r="O18" s="223"/>
      <c r="P18" s="223"/>
      <c r="Q18" s="223"/>
      <c r="R18" s="223"/>
      <c r="S18" s="223"/>
      <c r="T18" s="223"/>
      <c r="U18" s="223"/>
      <c r="V18" s="223"/>
      <c r="W18" s="223"/>
      <c r="X18" s="223"/>
      <c r="Y18" s="223"/>
      <c r="Z18" s="223"/>
      <c r="AA18" s="417">
        <f t="shared" si="0"/>
        <v>9453934</v>
      </c>
    </row>
    <row r="19" spans="1:27" s="255" customFormat="1" ht="20.149999999999999" customHeight="1" x14ac:dyDescent="0.55000000000000004">
      <c r="A19" s="222"/>
      <c r="B19" s="224"/>
      <c r="C19" s="224" t="s">
        <v>376</v>
      </c>
      <c r="D19" s="219"/>
      <c r="E19" s="223">
        <v>3972406</v>
      </c>
      <c r="F19" s="223">
        <v>1945434</v>
      </c>
      <c r="G19" s="223"/>
      <c r="H19" s="223"/>
      <c r="I19" s="223"/>
      <c r="J19" s="223"/>
      <c r="K19" s="223"/>
      <c r="L19" s="223"/>
      <c r="M19" s="223"/>
      <c r="N19" s="223"/>
      <c r="O19" s="223"/>
      <c r="P19" s="223"/>
      <c r="Q19" s="223"/>
      <c r="R19" s="223"/>
      <c r="S19" s="223"/>
      <c r="T19" s="223"/>
      <c r="U19" s="223"/>
      <c r="V19" s="223"/>
      <c r="W19" s="223"/>
      <c r="X19" s="223"/>
      <c r="Y19" s="223"/>
      <c r="Z19" s="223"/>
      <c r="AA19" s="417">
        <f t="shared" si="0"/>
        <v>5917840</v>
      </c>
    </row>
    <row r="20" spans="1:27" s="255" customFormat="1" ht="20.149999999999999" customHeight="1" x14ac:dyDescent="0.55000000000000004">
      <c r="A20" s="222"/>
      <c r="B20" s="224"/>
      <c r="C20" s="224" t="s">
        <v>377</v>
      </c>
      <c r="D20" s="219"/>
      <c r="E20" s="223">
        <v>3536094</v>
      </c>
      <c r="F20" s="223"/>
      <c r="G20" s="223"/>
      <c r="H20" s="223"/>
      <c r="I20" s="223"/>
      <c r="J20" s="223"/>
      <c r="K20" s="223"/>
      <c r="L20" s="223"/>
      <c r="M20" s="223"/>
      <c r="N20" s="223"/>
      <c r="O20" s="223"/>
      <c r="P20" s="223"/>
      <c r="Q20" s="223"/>
      <c r="R20" s="223"/>
      <c r="S20" s="223"/>
      <c r="T20" s="223"/>
      <c r="U20" s="223"/>
      <c r="V20" s="223"/>
      <c r="W20" s="223"/>
      <c r="X20" s="223"/>
      <c r="Y20" s="223"/>
      <c r="Z20" s="223"/>
      <c r="AA20" s="417">
        <f t="shared" si="0"/>
        <v>3536094</v>
      </c>
    </row>
    <row r="21" spans="1:27" s="255" customFormat="1" ht="20.149999999999999" customHeight="1" x14ac:dyDescent="0.55000000000000004">
      <c r="A21" s="222"/>
      <c r="B21" s="763" t="s">
        <v>380</v>
      </c>
      <c r="C21" s="763"/>
      <c r="D21" s="219"/>
      <c r="E21" s="223"/>
      <c r="F21" s="223"/>
      <c r="G21" s="223"/>
      <c r="H21" s="223">
        <v>21939</v>
      </c>
      <c r="I21" s="223">
        <v>27325</v>
      </c>
      <c r="J21" s="223">
        <v>26342</v>
      </c>
      <c r="K21" s="223">
        <v>26007</v>
      </c>
      <c r="L21" s="223">
        <v>27830</v>
      </c>
      <c r="M21" s="223">
        <v>24696</v>
      </c>
      <c r="N21" s="223">
        <v>22823</v>
      </c>
      <c r="O21" s="223">
        <v>21147</v>
      </c>
      <c r="P21" s="223">
        <v>19335</v>
      </c>
      <c r="Q21" s="223">
        <v>18406</v>
      </c>
      <c r="R21" s="223">
        <v>412</v>
      </c>
      <c r="S21" s="223">
        <v>384</v>
      </c>
      <c r="T21" s="223">
        <v>371</v>
      </c>
      <c r="U21" s="223">
        <v>0</v>
      </c>
      <c r="V21" s="223"/>
      <c r="W21" s="223"/>
      <c r="X21" s="223"/>
      <c r="Y21" s="223"/>
      <c r="Z21" s="223"/>
      <c r="AA21" s="417">
        <f t="shared" si="0"/>
        <v>237017</v>
      </c>
    </row>
    <row r="22" spans="1:27" s="255" customFormat="1" ht="20.149999999999999" customHeight="1" x14ac:dyDescent="0.55000000000000004">
      <c r="A22" s="222"/>
      <c r="B22" s="763"/>
      <c r="C22" s="763"/>
      <c r="D22" s="225"/>
      <c r="E22" s="226"/>
      <c r="F22" s="226"/>
      <c r="G22" s="226"/>
      <c r="H22" s="226" t="s">
        <v>395</v>
      </c>
      <c r="I22" s="226" t="s">
        <v>396</v>
      </c>
      <c r="J22" s="226" t="s">
        <v>397</v>
      </c>
      <c r="K22" s="226" t="s">
        <v>398</v>
      </c>
      <c r="L22" s="226" t="s">
        <v>399</v>
      </c>
      <c r="M22" s="226" t="s">
        <v>400</v>
      </c>
      <c r="N22" s="226" t="s">
        <v>401</v>
      </c>
      <c r="O22" s="226" t="s">
        <v>402</v>
      </c>
      <c r="P22" s="226" t="s">
        <v>403</v>
      </c>
      <c r="Q22" s="226" t="s">
        <v>404</v>
      </c>
      <c r="R22" s="226" t="s">
        <v>405</v>
      </c>
      <c r="S22" s="226" t="s">
        <v>406</v>
      </c>
      <c r="T22" s="226" t="s">
        <v>407</v>
      </c>
      <c r="U22" s="226" t="s">
        <v>408</v>
      </c>
      <c r="V22" s="226"/>
      <c r="W22" s="226"/>
      <c r="X22" s="226"/>
      <c r="Y22" s="226"/>
      <c r="Z22" s="226"/>
      <c r="AA22" s="417"/>
    </row>
    <row r="23" spans="1:27" s="255" customFormat="1" ht="20.149999999999999" customHeight="1" x14ac:dyDescent="0.55000000000000004">
      <c r="A23" s="222"/>
      <c r="B23" s="763" t="s">
        <v>381</v>
      </c>
      <c r="C23" s="763"/>
      <c r="D23" s="219"/>
      <c r="E23" s="223"/>
      <c r="F23" s="223"/>
      <c r="G23" s="223">
        <v>2372</v>
      </c>
      <c r="H23" s="223">
        <v>13345</v>
      </c>
      <c r="I23" s="223">
        <v>16207</v>
      </c>
      <c r="J23" s="223">
        <v>10729</v>
      </c>
      <c r="K23" s="223">
        <v>13212</v>
      </c>
      <c r="L23" s="223">
        <v>13334</v>
      </c>
      <c r="M23" s="223">
        <v>8258</v>
      </c>
      <c r="N23" s="223">
        <v>2968</v>
      </c>
      <c r="O23" s="223">
        <v>1801</v>
      </c>
      <c r="P23" s="223">
        <v>1702</v>
      </c>
      <c r="Q23" s="223">
        <v>1739</v>
      </c>
      <c r="R23" s="223">
        <v>1234</v>
      </c>
      <c r="S23" s="223">
        <v>91</v>
      </c>
      <c r="T23" s="223">
        <v>92</v>
      </c>
      <c r="U23" s="223">
        <v>13</v>
      </c>
      <c r="V23" s="223"/>
      <c r="W23" s="223"/>
      <c r="X23" s="223"/>
      <c r="Y23" s="223"/>
      <c r="Z23" s="223"/>
      <c r="AA23" s="417">
        <f t="shared" si="0"/>
        <v>87097</v>
      </c>
    </row>
    <row r="24" spans="1:27" s="255" customFormat="1" ht="20.149999999999999" customHeight="1" x14ac:dyDescent="0.55000000000000004">
      <c r="A24" s="227"/>
      <c r="B24" s="768"/>
      <c r="C24" s="768"/>
      <c r="D24" s="229"/>
      <c r="E24" s="230"/>
      <c r="F24" s="230"/>
      <c r="G24" s="230" t="s">
        <v>423</v>
      </c>
      <c r="H24" s="230" t="s">
        <v>410</v>
      </c>
      <c r="I24" s="230" t="s">
        <v>411</v>
      </c>
      <c r="J24" s="230" t="s">
        <v>412</v>
      </c>
      <c r="K24" s="230" t="s">
        <v>413</v>
      </c>
      <c r="L24" s="230" t="s">
        <v>414</v>
      </c>
      <c r="M24" s="230" t="s">
        <v>415</v>
      </c>
      <c r="N24" s="230" t="s">
        <v>416</v>
      </c>
      <c r="O24" s="230" t="s">
        <v>417</v>
      </c>
      <c r="P24" s="230" t="s">
        <v>418</v>
      </c>
      <c r="Q24" s="230" t="s">
        <v>419</v>
      </c>
      <c r="R24" s="230" t="s">
        <v>420</v>
      </c>
      <c r="S24" s="230" t="s">
        <v>421</v>
      </c>
      <c r="T24" s="230" t="s">
        <v>421</v>
      </c>
      <c r="U24" s="230" t="s">
        <v>422</v>
      </c>
      <c r="V24" s="230"/>
      <c r="W24" s="230"/>
      <c r="X24" s="230"/>
      <c r="Y24" s="230"/>
      <c r="Z24" s="230"/>
      <c r="AA24" s="418"/>
    </row>
    <row r="25" spans="1:27" s="255" customFormat="1" ht="20.149999999999999" customHeight="1" x14ac:dyDescent="0.55000000000000004">
      <c r="A25" s="777" t="s">
        <v>382</v>
      </c>
      <c r="B25" s="778"/>
      <c r="C25" s="778"/>
      <c r="D25" s="218">
        <f t="shared" ref="D25:U25" si="3">D26+D29+D32+D34</f>
        <v>289323</v>
      </c>
      <c r="E25" s="221">
        <f t="shared" si="3"/>
        <v>4124445</v>
      </c>
      <c r="F25" s="221">
        <f t="shared" si="3"/>
        <v>673845</v>
      </c>
      <c r="G25" s="221">
        <f t="shared" si="3"/>
        <v>516</v>
      </c>
      <c r="H25" s="221">
        <f t="shared" si="3"/>
        <v>8334</v>
      </c>
      <c r="I25" s="221">
        <f t="shared" si="3"/>
        <v>10261</v>
      </c>
      <c r="J25" s="221">
        <f t="shared" si="3"/>
        <v>8633</v>
      </c>
      <c r="K25" s="221">
        <f t="shared" si="3"/>
        <v>8973</v>
      </c>
      <c r="L25" s="221">
        <f t="shared" si="3"/>
        <v>9336</v>
      </c>
      <c r="M25" s="221">
        <f t="shared" si="3"/>
        <v>7493</v>
      </c>
      <c r="N25" s="221">
        <f t="shared" si="3"/>
        <v>5901</v>
      </c>
      <c r="O25" s="221">
        <f t="shared" si="3"/>
        <v>5291</v>
      </c>
      <c r="P25" s="221">
        <f t="shared" si="3"/>
        <v>4839</v>
      </c>
      <c r="Q25" s="221">
        <f t="shared" si="3"/>
        <v>4630</v>
      </c>
      <c r="R25" s="221">
        <f t="shared" si="3"/>
        <v>357</v>
      </c>
      <c r="S25" s="221">
        <f t="shared" si="3"/>
        <v>102</v>
      </c>
      <c r="T25" s="221">
        <f t="shared" si="3"/>
        <v>99</v>
      </c>
      <c r="U25" s="221">
        <f t="shared" si="3"/>
        <v>3</v>
      </c>
      <c r="V25" s="221"/>
      <c r="W25" s="221"/>
      <c r="X25" s="221"/>
      <c r="Y25" s="221"/>
      <c r="Z25" s="221"/>
      <c r="AA25" s="414">
        <f t="shared" si="0"/>
        <v>5162381</v>
      </c>
    </row>
    <row r="26" spans="1:27" s="255" customFormat="1" ht="20.149999999999999" customHeight="1" x14ac:dyDescent="0.55000000000000004">
      <c r="A26" s="222"/>
      <c r="B26" s="763" t="s">
        <v>374</v>
      </c>
      <c r="C26" s="763"/>
      <c r="D26" s="219">
        <f>SUM(D27:D28)</f>
        <v>289323</v>
      </c>
      <c r="E26" s="223">
        <f>SUM(E27:E28)</f>
        <v>2188595</v>
      </c>
      <c r="F26" s="223">
        <f>SUM(F27:F28)</f>
        <v>145085</v>
      </c>
      <c r="G26" s="223"/>
      <c r="H26" s="223"/>
      <c r="I26" s="223"/>
      <c r="J26" s="223"/>
      <c r="K26" s="223"/>
      <c r="L26" s="223"/>
      <c r="M26" s="223"/>
      <c r="N26" s="223"/>
      <c r="O26" s="223"/>
      <c r="P26" s="223"/>
      <c r="Q26" s="223"/>
      <c r="R26" s="223"/>
      <c r="S26" s="223"/>
      <c r="T26" s="223"/>
      <c r="U26" s="223"/>
      <c r="V26" s="223"/>
      <c r="W26" s="223"/>
      <c r="X26" s="223"/>
      <c r="Y26" s="223"/>
      <c r="Z26" s="223"/>
      <c r="AA26" s="417">
        <f t="shared" si="0"/>
        <v>2623003</v>
      </c>
    </row>
    <row r="27" spans="1:27" s="255" customFormat="1" ht="20.149999999999999" customHeight="1" x14ac:dyDescent="0.55000000000000004">
      <c r="A27" s="222"/>
      <c r="B27" s="224"/>
      <c r="C27" s="224" t="s">
        <v>376</v>
      </c>
      <c r="D27" s="219"/>
      <c r="E27" s="223">
        <v>406995</v>
      </c>
      <c r="F27" s="223">
        <v>145085</v>
      </c>
      <c r="G27" s="223"/>
      <c r="H27" s="223"/>
      <c r="I27" s="223"/>
      <c r="J27" s="223"/>
      <c r="K27" s="223"/>
      <c r="L27" s="223"/>
      <c r="M27" s="223"/>
      <c r="N27" s="223"/>
      <c r="O27" s="223"/>
      <c r="P27" s="223"/>
      <c r="Q27" s="223"/>
      <c r="R27" s="223"/>
      <c r="S27" s="223"/>
      <c r="T27" s="223"/>
      <c r="U27" s="223"/>
      <c r="V27" s="223"/>
      <c r="W27" s="223"/>
      <c r="X27" s="223"/>
      <c r="Y27" s="223"/>
      <c r="Z27" s="223"/>
      <c r="AA27" s="417">
        <f t="shared" si="0"/>
        <v>552080</v>
      </c>
    </row>
    <row r="28" spans="1:27" s="255" customFormat="1" ht="20.149999999999999" customHeight="1" x14ac:dyDescent="0.55000000000000004">
      <c r="A28" s="222"/>
      <c r="B28" s="224"/>
      <c r="C28" s="224" t="s">
        <v>377</v>
      </c>
      <c r="D28" s="219">
        <v>289323</v>
      </c>
      <c r="E28" s="223">
        <v>1781600</v>
      </c>
      <c r="F28" s="223"/>
      <c r="G28" s="223"/>
      <c r="H28" s="223"/>
      <c r="I28" s="223"/>
      <c r="J28" s="223"/>
      <c r="K28" s="223"/>
      <c r="L28" s="223"/>
      <c r="M28" s="223"/>
      <c r="N28" s="223"/>
      <c r="O28" s="223"/>
      <c r="P28" s="223"/>
      <c r="Q28" s="223"/>
      <c r="R28" s="223"/>
      <c r="S28" s="223"/>
      <c r="T28" s="223"/>
      <c r="U28" s="223"/>
      <c r="V28" s="223"/>
      <c r="W28" s="223"/>
      <c r="X28" s="223"/>
      <c r="Y28" s="223"/>
      <c r="Z28" s="223"/>
      <c r="AA28" s="417">
        <f t="shared" si="0"/>
        <v>2070923</v>
      </c>
    </row>
    <row r="29" spans="1:27" s="255" customFormat="1" ht="20.149999999999999" customHeight="1" x14ac:dyDescent="0.55000000000000004">
      <c r="A29" s="222"/>
      <c r="B29" s="763" t="s">
        <v>379</v>
      </c>
      <c r="C29" s="763"/>
      <c r="D29" s="219"/>
      <c r="E29" s="223">
        <f>SUM(E30:E31)</f>
        <v>1935850</v>
      </c>
      <c r="F29" s="223">
        <f>SUM(F30:F31)</f>
        <v>528760</v>
      </c>
      <c r="G29" s="223"/>
      <c r="H29" s="223"/>
      <c r="I29" s="223"/>
      <c r="J29" s="223"/>
      <c r="K29" s="223"/>
      <c r="L29" s="223"/>
      <c r="M29" s="223"/>
      <c r="N29" s="223"/>
      <c r="O29" s="223"/>
      <c r="P29" s="223"/>
      <c r="Q29" s="223"/>
      <c r="R29" s="223"/>
      <c r="S29" s="223"/>
      <c r="T29" s="223"/>
      <c r="U29" s="223"/>
      <c r="V29" s="223"/>
      <c r="W29" s="223"/>
      <c r="X29" s="223"/>
      <c r="Y29" s="223"/>
      <c r="Z29" s="223"/>
      <c r="AA29" s="417">
        <f t="shared" si="0"/>
        <v>2464610</v>
      </c>
    </row>
    <row r="30" spans="1:27" s="255" customFormat="1" ht="20.149999999999999" customHeight="1" x14ac:dyDescent="0.55000000000000004">
      <c r="A30" s="222"/>
      <c r="B30" s="224"/>
      <c r="C30" s="224" t="s">
        <v>376</v>
      </c>
      <c r="D30" s="219"/>
      <c r="E30" s="223">
        <v>1161586</v>
      </c>
      <c r="F30" s="223">
        <v>528760</v>
      </c>
      <c r="G30" s="223"/>
      <c r="H30" s="223"/>
      <c r="I30" s="223"/>
      <c r="J30" s="223"/>
      <c r="K30" s="223"/>
      <c r="L30" s="223"/>
      <c r="M30" s="223"/>
      <c r="N30" s="223"/>
      <c r="O30" s="223"/>
      <c r="P30" s="223"/>
      <c r="Q30" s="223"/>
      <c r="R30" s="223"/>
      <c r="S30" s="223"/>
      <c r="T30" s="223"/>
      <c r="U30" s="223"/>
      <c r="V30" s="223"/>
      <c r="W30" s="223"/>
      <c r="X30" s="223"/>
      <c r="Y30" s="223"/>
      <c r="Z30" s="223"/>
      <c r="AA30" s="417">
        <f t="shared" si="0"/>
        <v>1690346</v>
      </c>
    </row>
    <row r="31" spans="1:27" s="255" customFormat="1" ht="20.149999999999999" customHeight="1" x14ac:dyDescent="0.55000000000000004">
      <c r="A31" s="222"/>
      <c r="B31" s="224"/>
      <c r="C31" s="224" t="s">
        <v>377</v>
      </c>
      <c r="D31" s="219"/>
      <c r="E31" s="223">
        <v>774264</v>
      </c>
      <c r="F31" s="223"/>
      <c r="G31" s="223"/>
      <c r="H31" s="223"/>
      <c r="I31" s="223"/>
      <c r="J31" s="223"/>
      <c r="K31" s="223"/>
      <c r="L31" s="223"/>
      <c r="M31" s="223"/>
      <c r="N31" s="223"/>
      <c r="O31" s="223"/>
      <c r="P31" s="223"/>
      <c r="Q31" s="223"/>
      <c r="R31" s="223"/>
      <c r="S31" s="223"/>
      <c r="T31" s="223"/>
      <c r="U31" s="223"/>
      <c r="V31" s="223"/>
      <c r="W31" s="223"/>
      <c r="X31" s="223"/>
      <c r="Y31" s="223"/>
      <c r="Z31" s="223"/>
      <c r="AA31" s="417">
        <f t="shared" si="0"/>
        <v>774264</v>
      </c>
    </row>
    <row r="32" spans="1:27" s="255" customFormat="1" ht="20.149999999999999" customHeight="1" x14ac:dyDescent="0.55000000000000004">
      <c r="A32" s="222"/>
      <c r="B32" s="763" t="s">
        <v>380</v>
      </c>
      <c r="C32" s="763"/>
      <c r="D32" s="219"/>
      <c r="E32" s="223"/>
      <c r="F32" s="223"/>
      <c r="G32" s="223"/>
      <c r="H32" s="223">
        <v>5448</v>
      </c>
      <c r="I32" s="223">
        <v>6754</v>
      </c>
      <c r="J32" s="223">
        <v>6313</v>
      </c>
      <c r="K32" s="223">
        <v>6119</v>
      </c>
      <c r="L32" s="223">
        <v>6456</v>
      </c>
      <c r="M32" s="223">
        <v>5707</v>
      </c>
      <c r="N32" s="223">
        <v>5275</v>
      </c>
      <c r="O32" s="223">
        <v>4909</v>
      </c>
      <c r="P32" s="223">
        <v>4480</v>
      </c>
      <c r="Q32" s="223">
        <v>4259</v>
      </c>
      <c r="R32" s="223">
        <v>93</v>
      </c>
      <c r="S32" s="223">
        <v>87</v>
      </c>
      <c r="T32" s="223">
        <v>84</v>
      </c>
      <c r="U32" s="223">
        <v>0</v>
      </c>
      <c r="V32" s="223"/>
      <c r="W32" s="223"/>
      <c r="X32" s="223"/>
      <c r="Y32" s="223"/>
      <c r="Z32" s="223"/>
      <c r="AA32" s="417">
        <f t="shared" si="0"/>
        <v>55984</v>
      </c>
    </row>
    <row r="33" spans="1:27" s="255" customFormat="1" ht="20.149999999999999" customHeight="1" x14ac:dyDescent="0.55000000000000004">
      <c r="A33" s="222"/>
      <c r="B33" s="763"/>
      <c r="C33" s="763"/>
      <c r="D33" s="225"/>
      <c r="E33" s="226"/>
      <c r="F33" s="226"/>
      <c r="G33" s="226"/>
      <c r="H33" s="226" t="s">
        <v>395</v>
      </c>
      <c r="I33" s="226" t="s">
        <v>396</v>
      </c>
      <c r="J33" s="226" t="s">
        <v>397</v>
      </c>
      <c r="K33" s="226" t="s">
        <v>398</v>
      </c>
      <c r="L33" s="226" t="s">
        <v>399</v>
      </c>
      <c r="M33" s="226" t="s">
        <v>400</v>
      </c>
      <c r="N33" s="226" t="s">
        <v>401</v>
      </c>
      <c r="O33" s="226" t="s">
        <v>402</v>
      </c>
      <c r="P33" s="226" t="s">
        <v>403</v>
      </c>
      <c r="Q33" s="226" t="s">
        <v>404</v>
      </c>
      <c r="R33" s="226" t="s">
        <v>405</v>
      </c>
      <c r="S33" s="226" t="s">
        <v>406</v>
      </c>
      <c r="T33" s="226" t="s">
        <v>407</v>
      </c>
      <c r="U33" s="226" t="s">
        <v>408</v>
      </c>
      <c r="V33" s="226"/>
      <c r="W33" s="226"/>
      <c r="X33" s="226"/>
      <c r="Y33" s="226"/>
      <c r="Z33" s="226"/>
      <c r="AA33" s="417"/>
    </row>
    <row r="34" spans="1:27" s="255" customFormat="1" ht="20.149999999999999" customHeight="1" x14ac:dyDescent="0.55000000000000004">
      <c r="A34" s="222"/>
      <c r="B34" s="763" t="s">
        <v>381</v>
      </c>
      <c r="C34" s="763"/>
      <c r="D34" s="219"/>
      <c r="E34" s="223"/>
      <c r="F34" s="223"/>
      <c r="G34" s="223">
        <v>516</v>
      </c>
      <c r="H34" s="223">
        <v>2886</v>
      </c>
      <c r="I34" s="223">
        <v>3507</v>
      </c>
      <c r="J34" s="223">
        <v>2320</v>
      </c>
      <c r="K34" s="223">
        <v>2854</v>
      </c>
      <c r="L34" s="223">
        <v>2880</v>
      </c>
      <c r="M34" s="223">
        <v>1786</v>
      </c>
      <c r="N34" s="223">
        <v>626</v>
      </c>
      <c r="O34" s="223">
        <v>382</v>
      </c>
      <c r="P34" s="223">
        <v>359</v>
      </c>
      <c r="Q34" s="223">
        <v>371</v>
      </c>
      <c r="R34" s="223">
        <v>264</v>
      </c>
      <c r="S34" s="223">
        <v>15</v>
      </c>
      <c r="T34" s="223">
        <v>15</v>
      </c>
      <c r="U34" s="223">
        <v>3</v>
      </c>
      <c r="V34" s="223"/>
      <c r="W34" s="223"/>
      <c r="X34" s="223"/>
      <c r="Y34" s="223"/>
      <c r="Z34" s="223"/>
      <c r="AA34" s="417">
        <f t="shared" si="0"/>
        <v>18784</v>
      </c>
    </row>
    <row r="35" spans="1:27" s="255" customFormat="1" ht="20.149999999999999" customHeight="1" x14ac:dyDescent="0.55000000000000004">
      <c r="A35" s="227"/>
      <c r="B35" s="768"/>
      <c r="C35" s="768"/>
      <c r="D35" s="229"/>
      <c r="E35" s="230"/>
      <c r="F35" s="230"/>
      <c r="G35" s="230" t="s">
        <v>409</v>
      </c>
      <c r="H35" s="230" t="s">
        <v>410</v>
      </c>
      <c r="I35" s="230" t="s">
        <v>411</v>
      </c>
      <c r="J35" s="230" t="s">
        <v>412</v>
      </c>
      <c r="K35" s="230" t="s">
        <v>413</v>
      </c>
      <c r="L35" s="230" t="s">
        <v>414</v>
      </c>
      <c r="M35" s="230" t="s">
        <v>415</v>
      </c>
      <c r="N35" s="230" t="s">
        <v>416</v>
      </c>
      <c r="O35" s="230" t="s">
        <v>417</v>
      </c>
      <c r="P35" s="230" t="s">
        <v>418</v>
      </c>
      <c r="Q35" s="230" t="s">
        <v>419</v>
      </c>
      <c r="R35" s="230" t="s">
        <v>420</v>
      </c>
      <c r="S35" s="230" t="s">
        <v>421</v>
      </c>
      <c r="T35" s="230" t="s">
        <v>421</v>
      </c>
      <c r="U35" s="230" t="s">
        <v>422</v>
      </c>
      <c r="V35" s="230"/>
      <c r="W35" s="230"/>
      <c r="X35" s="230"/>
      <c r="Y35" s="230"/>
      <c r="Z35" s="230"/>
      <c r="AA35" s="418"/>
    </row>
    <row r="36" spans="1:27" s="255" customFormat="1" ht="20.149999999999999" customHeight="1" x14ac:dyDescent="0.55000000000000004">
      <c r="A36" s="777" t="s">
        <v>383</v>
      </c>
      <c r="B36" s="778"/>
      <c r="C36" s="778"/>
      <c r="D36" s="218"/>
      <c r="E36" s="221">
        <f>SUM(E37:E38)</f>
        <v>556112</v>
      </c>
      <c r="F36" s="221">
        <f>SUM(F37:F38)</f>
        <v>697215</v>
      </c>
      <c r="G36" s="221">
        <f>SUM(G37:G38)</f>
        <v>1286193</v>
      </c>
      <c r="H36" s="221">
        <f>SUM(H37:H38)</f>
        <v>1456533</v>
      </c>
      <c r="I36" s="221">
        <v>811680</v>
      </c>
      <c r="J36" s="221">
        <f>SUM(J37:J38)</f>
        <v>137000</v>
      </c>
      <c r="K36" s="221">
        <f>SUM(K37:K38)</f>
        <v>45179</v>
      </c>
      <c r="L36" s="221">
        <f>SUM(L37:L38)</f>
        <v>33904</v>
      </c>
      <c r="M36" s="221"/>
      <c r="N36" s="221"/>
      <c r="O36" s="221"/>
      <c r="P36" s="221"/>
      <c r="Q36" s="221"/>
      <c r="R36" s="221"/>
      <c r="S36" s="221"/>
      <c r="T36" s="221"/>
      <c r="U36" s="221"/>
      <c r="V36" s="221"/>
      <c r="W36" s="221"/>
      <c r="X36" s="221"/>
      <c r="Y36" s="221"/>
      <c r="Z36" s="221"/>
      <c r="AA36" s="414">
        <f t="shared" si="0"/>
        <v>5023816</v>
      </c>
    </row>
    <row r="37" spans="1:27" s="255" customFormat="1" ht="20.149999999999999" customHeight="1" x14ac:dyDescent="0.55000000000000004">
      <c r="A37" s="222"/>
      <c r="B37" s="763" t="s">
        <v>384</v>
      </c>
      <c r="C37" s="763"/>
      <c r="D37" s="219"/>
      <c r="E37" s="223">
        <v>219687</v>
      </c>
      <c r="F37" s="223">
        <v>116636</v>
      </c>
      <c r="G37" s="223"/>
      <c r="H37" s="223"/>
      <c r="I37" s="223"/>
      <c r="J37" s="223"/>
      <c r="K37" s="223"/>
      <c r="L37" s="223"/>
      <c r="M37" s="223"/>
      <c r="N37" s="223"/>
      <c r="O37" s="223"/>
      <c r="P37" s="223"/>
      <c r="Q37" s="223"/>
      <c r="R37" s="223"/>
      <c r="S37" s="223"/>
      <c r="T37" s="223"/>
      <c r="U37" s="223"/>
      <c r="V37" s="223"/>
      <c r="W37" s="223"/>
      <c r="X37" s="223"/>
      <c r="Y37" s="223"/>
      <c r="Z37" s="223"/>
      <c r="AA37" s="417">
        <f t="shared" si="0"/>
        <v>336323</v>
      </c>
    </row>
    <row r="38" spans="1:27" s="255" customFormat="1" ht="20.149999999999999" customHeight="1" thickBot="1" x14ac:dyDescent="0.6">
      <c r="A38" s="231"/>
      <c r="B38" s="762" t="s">
        <v>385</v>
      </c>
      <c r="C38" s="762"/>
      <c r="D38" s="232"/>
      <c r="E38" s="233">
        <v>336425</v>
      </c>
      <c r="F38" s="233">
        <v>580579</v>
      </c>
      <c r="G38" s="233">
        <v>1286193</v>
      </c>
      <c r="H38" s="233">
        <v>1456533</v>
      </c>
      <c r="I38" s="233">
        <v>811680</v>
      </c>
      <c r="J38" s="233">
        <v>137000</v>
      </c>
      <c r="K38" s="233">
        <v>45179</v>
      </c>
      <c r="L38" s="233">
        <v>33904</v>
      </c>
      <c r="M38" s="233"/>
      <c r="N38" s="233"/>
      <c r="O38" s="233"/>
      <c r="P38" s="233"/>
      <c r="Q38" s="233"/>
      <c r="R38" s="233"/>
      <c r="S38" s="233"/>
      <c r="T38" s="233"/>
      <c r="U38" s="233"/>
      <c r="V38" s="233"/>
      <c r="W38" s="233"/>
      <c r="X38" s="233"/>
      <c r="Y38" s="233"/>
      <c r="Z38" s="233"/>
      <c r="AA38" s="419">
        <f t="shared" si="0"/>
        <v>4687493</v>
      </c>
    </row>
    <row r="39" spans="1:27" s="255" customFormat="1" ht="20.149999999999999" customHeight="1" thickTop="1" x14ac:dyDescent="0.55000000000000004">
      <c r="A39" s="764" t="s">
        <v>386</v>
      </c>
      <c r="B39" s="765"/>
      <c r="C39" s="765"/>
      <c r="D39" s="234">
        <f>D11+D13+D25+D36</f>
        <v>2628421</v>
      </c>
      <c r="E39" s="235">
        <f t="shared" ref="E39:Z39" si="4">E11+E13+E25+E36</f>
        <v>28993935</v>
      </c>
      <c r="F39" s="235">
        <f t="shared" si="4"/>
        <v>4444282</v>
      </c>
      <c r="G39" s="235">
        <f t="shared" si="4"/>
        <v>1289081</v>
      </c>
      <c r="H39" s="235">
        <f t="shared" si="4"/>
        <v>1500151</v>
      </c>
      <c r="I39" s="235">
        <f t="shared" si="4"/>
        <v>865473</v>
      </c>
      <c r="J39" s="235">
        <f t="shared" si="4"/>
        <v>182704</v>
      </c>
      <c r="K39" s="235">
        <f t="shared" si="4"/>
        <v>93371</v>
      </c>
      <c r="L39" s="235">
        <f t="shared" si="4"/>
        <v>84404</v>
      </c>
      <c r="M39" s="235">
        <f t="shared" si="4"/>
        <v>40447</v>
      </c>
      <c r="N39" s="235">
        <f t="shared" si="4"/>
        <v>31692</v>
      </c>
      <c r="O39" s="235">
        <f t="shared" si="4"/>
        <v>28239</v>
      </c>
      <c r="P39" s="235">
        <f t="shared" si="4"/>
        <v>25876</v>
      </c>
      <c r="Q39" s="235">
        <f t="shared" si="4"/>
        <v>24775</v>
      </c>
      <c r="R39" s="235">
        <f t="shared" si="4"/>
        <v>2003</v>
      </c>
      <c r="S39" s="235">
        <f t="shared" si="4"/>
        <v>577</v>
      </c>
      <c r="T39" s="235">
        <f t="shared" si="4"/>
        <v>562</v>
      </c>
      <c r="U39" s="235">
        <f t="shared" si="4"/>
        <v>16</v>
      </c>
      <c r="V39" s="235">
        <f t="shared" si="4"/>
        <v>0</v>
      </c>
      <c r="W39" s="235">
        <f t="shared" si="4"/>
        <v>0</v>
      </c>
      <c r="X39" s="235">
        <f t="shared" si="4"/>
        <v>0</v>
      </c>
      <c r="Y39" s="235">
        <f t="shared" si="4"/>
        <v>0</v>
      </c>
      <c r="Z39" s="235">
        <f t="shared" si="4"/>
        <v>0</v>
      </c>
      <c r="AA39" s="420">
        <f t="shared" si="0"/>
        <v>40236009</v>
      </c>
    </row>
    <row r="40" spans="1:27" s="255" customFormat="1" ht="20.149999999999999" customHeight="1" x14ac:dyDescent="0.55000000000000004">
      <c r="A40" s="216"/>
      <c r="B40" s="216"/>
      <c r="C40" s="216"/>
      <c r="D40" s="410"/>
      <c r="E40" s="411"/>
      <c r="F40" s="411"/>
      <c r="G40" s="411"/>
      <c r="H40" s="411"/>
      <c r="I40" s="411"/>
      <c r="J40" s="411"/>
      <c r="K40" s="411"/>
      <c r="L40" s="411"/>
      <c r="M40" s="411"/>
      <c r="N40" s="411"/>
      <c r="O40" s="411"/>
      <c r="P40" s="411"/>
      <c r="Q40" s="411"/>
      <c r="R40" s="411"/>
      <c r="S40" s="411"/>
      <c r="T40" s="411"/>
      <c r="U40" s="411"/>
      <c r="V40" s="411"/>
      <c r="W40" s="411"/>
      <c r="X40" s="411"/>
      <c r="Y40" s="411"/>
      <c r="Z40" s="411"/>
      <c r="AA40" s="421"/>
    </row>
    <row r="41" spans="1:27" s="255" customFormat="1" ht="20.149999999999999" customHeight="1" x14ac:dyDescent="0.55000000000000004">
      <c r="C41" s="216"/>
      <c r="E41" s="254"/>
    </row>
    <row r="42" spans="1:27" s="255" customFormat="1" ht="20.149999999999999" customHeight="1" x14ac:dyDescent="0.55000000000000004">
      <c r="A42" s="771" t="s">
        <v>387</v>
      </c>
      <c r="B42" s="772"/>
      <c r="C42" s="773"/>
      <c r="D42" s="435" t="s">
        <v>371</v>
      </c>
      <c r="E42" s="435" t="s">
        <v>370</v>
      </c>
      <c r="F42" s="435" t="s">
        <v>369</v>
      </c>
      <c r="G42" s="435" t="s">
        <v>368</v>
      </c>
      <c r="H42" s="435" t="s">
        <v>367</v>
      </c>
      <c r="I42" s="435" t="s">
        <v>366</v>
      </c>
      <c r="J42" s="435" t="s">
        <v>365</v>
      </c>
      <c r="K42" s="435" t="s">
        <v>364</v>
      </c>
      <c r="L42" s="435" t="s">
        <v>363</v>
      </c>
      <c r="M42" s="435" t="s">
        <v>362</v>
      </c>
      <c r="N42" s="435" t="s">
        <v>361</v>
      </c>
      <c r="O42" s="435" t="s">
        <v>360</v>
      </c>
      <c r="P42" s="435" t="s">
        <v>359</v>
      </c>
      <c r="Q42" s="435" t="s">
        <v>358</v>
      </c>
      <c r="R42" s="435" t="s">
        <v>357</v>
      </c>
      <c r="S42" s="435" t="s">
        <v>356</v>
      </c>
      <c r="T42" s="435" t="s">
        <v>355</v>
      </c>
      <c r="U42" s="435" t="s">
        <v>354</v>
      </c>
      <c r="V42" s="435" t="s">
        <v>353</v>
      </c>
      <c r="W42" s="435" t="s">
        <v>352</v>
      </c>
      <c r="X42" s="435" t="s">
        <v>351</v>
      </c>
      <c r="Y42" s="435" t="s">
        <v>350</v>
      </c>
      <c r="Z42" s="435" t="s">
        <v>271</v>
      </c>
      <c r="AA42" s="436" t="s">
        <v>113</v>
      </c>
    </row>
    <row r="43" spans="1:27" s="255" customFormat="1" ht="20.149999999999999" customHeight="1" x14ac:dyDescent="0.55000000000000004">
      <c r="A43" s="769" t="s">
        <v>388</v>
      </c>
      <c r="B43" s="770"/>
      <c r="C43" s="770"/>
      <c r="D43" s="217"/>
      <c r="E43" s="217">
        <v>20099794</v>
      </c>
      <c r="F43" s="217">
        <v>14341371</v>
      </c>
      <c r="G43" s="217">
        <v>5608966</v>
      </c>
      <c r="H43" s="217">
        <v>2108562</v>
      </c>
      <c r="I43" s="217">
        <v>437901</v>
      </c>
      <c r="J43" s="217"/>
      <c r="K43" s="217"/>
      <c r="L43" s="217"/>
      <c r="M43" s="217"/>
      <c r="N43" s="217"/>
      <c r="O43" s="217"/>
      <c r="P43" s="217"/>
      <c r="Q43" s="217"/>
      <c r="R43" s="217"/>
      <c r="S43" s="217"/>
      <c r="T43" s="217"/>
      <c r="U43" s="217"/>
      <c r="V43" s="217"/>
      <c r="W43" s="217"/>
      <c r="X43" s="217"/>
      <c r="Y43" s="217"/>
      <c r="Z43" s="238"/>
      <c r="AA43" s="422">
        <f t="shared" si="0"/>
        <v>42596594</v>
      </c>
    </row>
    <row r="44" spans="1:27" s="255" customFormat="1" ht="20.149999999999999" customHeight="1" x14ac:dyDescent="0.55000000000000004">
      <c r="A44" s="30"/>
      <c r="B44" s="30"/>
      <c r="C44" s="30"/>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21"/>
    </row>
    <row r="45" spans="1:27" s="255" customFormat="1" ht="20.149999999999999" customHeight="1" x14ac:dyDescent="0.55000000000000004">
      <c r="A45" s="22"/>
      <c r="B45" s="22"/>
      <c r="C45" s="22"/>
      <c r="F45" s="254"/>
    </row>
    <row r="46" spans="1:27" s="255" customFormat="1" ht="20.149999999999999" customHeight="1" x14ac:dyDescent="0.55000000000000004">
      <c r="A46" s="771" t="s">
        <v>389</v>
      </c>
      <c r="B46" s="772"/>
      <c r="C46" s="773"/>
      <c r="D46" s="435" t="s">
        <v>371</v>
      </c>
      <c r="E46" s="435" t="s">
        <v>370</v>
      </c>
      <c r="F46" s="435" t="s">
        <v>369</v>
      </c>
      <c r="G46" s="435" t="s">
        <v>368</v>
      </c>
      <c r="H46" s="435" t="s">
        <v>367</v>
      </c>
      <c r="I46" s="435" t="s">
        <v>366</v>
      </c>
      <c r="J46" s="435" t="s">
        <v>365</v>
      </c>
      <c r="K46" s="435" t="s">
        <v>364</v>
      </c>
      <c r="L46" s="435" t="s">
        <v>363</v>
      </c>
      <c r="M46" s="435" t="s">
        <v>362</v>
      </c>
      <c r="N46" s="435" t="s">
        <v>361</v>
      </c>
      <c r="O46" s="435" t="s">
        <v>360</v>
      </c>
      <c r="P46" s="435" t="s">
        <v>359</v>
      </c>
      <c r="Q46" s="435" t="s">
        <v>358</v>
      </c>
      <c r="R46" s="435" t="s">
        <v>357</v>
      </c>
      <c r="S46" s="435" t="s">
        <v>356</v>
      </c>
      <c r="T46" s="435" t="s">
        <v>355</v>
      </c>
      <c r="U46" s="435" t="s">
        <v>354</v>
      </c>
      <c r="V46" s="435" t="s">
        <v>353</v>
      </c>
      <c r="W46" s="435" t="s">
        <v>352</v>
      </c>
      <c r="X46" s="435" t="s">
        <v>351</v>
      </c>
      <c r="Y46" s="435" t="s">
        <v>350</v>
      </c>
      <c r="Z46" s="435" t="s">
        <v>271</v>
      </c>
      <c r="AA46" s="436" t="s">
        <v>113</v>
      </c>
    </row>
    <row r="47" spans="1:27" s="255" customFormat="1" ht="20.149999999999999" customHeight="1" x14ac:dyDescent="0.55000000000000004">
      <c r="A47" s="766" t="s">
        <v>424</v>
      </c>
      <c r="B47" s="767"/>
      <c r="C47" s="767"/>
      <c r="D47" s="218"/>
      <c r="E47" s="218"/>
      <c r="F47" s="218">
        <f>SUM(F48:F49)</f>
        <v>586495</v>
      </c>
      <c r="G47" s="218">
        <f>SUM(G48:G49)</f>
        <v>1527454</v>
      </c>
      <c r="H47" s="218">
        <f>SUM(H48:H49)</f>
        <v>2540307</v>
      </c>
      <c r="I47" s="218">
        <f>SUM(I48:I49)</f>
        <v>3032115</v>
      </c>
      <c r="J47" s="218">
        <f t="shared" ref="J47:U47" si="5">SUM(J48:J49)</f>
        <v>2763552</v>
      </c>
      <c r="K47" s="218">
        <f t="shared" si="5"/>
        <v>2566040</v>
      </c>
      <c r="L47" s="218">
        <f t="shared" si="5"/>
        <v>2538621</v>
      </c>
      <c r="M47" s="218">
        <f t="shared" si="5"/>
        <v>1685830</v>
      </c>
      <c r="N47" s="218">
        <f t="shared" si="5"/>
        <v>1220620</v>
      </c>
      <c r="O47" s="218">
        <f t="shared" si="5"/>
        <v>985449</v>
      </c>
      <c r="P47" s="218">
        <f t="shared" si="5"/>
        <v>601834</v>
      </c>
      <c r="Q47" s="218">
        <f t="shared" si="5"/>
        <v>611874</v>
      </c>
      <c r="R47" s="218">
        <f t="shared" si="5"/>
        <v>524169</v>
      </c>
      <c r="S47" s="218">
        <f>SUM(S48:S49)</f>
        <v>394472</v>
      </c>
      <c r="T47" s="218">
        <f>SUM(T48:T49)</f>
        <v>290960</v>
      </c>
      <c r="U47" s="218">
        <f t="shared" si="5"/>
        <v>182510</v>
      </c>
      <c r="V47" s="218">
        <f>SUM(V48:V49)</f>
        <v>93464</v>
      </c>
      <c r="W47" s="218">
        <f>SUM(W48:W49)</f>
        <v>28757</v>
      </c>
      <c r="X47" s="218">
        <f>SUM(X48:X49)</f>
        <v>3293</v>
      </c>
      <c r="Y47" s="218">
        <f>SUM(Y48:Y49)</f>
        <v>1398</v>
      </c>
      <c r="Z47" s="218">
        <f>SUM(Z48:Z49)</f>
        <v>1545</v>
      </c>
      <c r="AA47" s="414">
        <f t="shared" si="0"/>
        <v>22180759</v>
      </c>
    </row>
    <row r="48" spans="1:27" s="255" customFormat="1" ht="20.149999999999999" customHeight="1" x14ac:dyDescent="0.55000000000000004">
      <c r="A48" s="222"/>
      <c r="B48" s="763" t="s">
        <v>390</v>
      </c>
      <c r="C48" s="763"/>
      <c r="D48" s="219"/>
      <c r="E48" s="219"/>
      <c r="F48" s="219">
        <v>332328</v>
      </c>
      <c r="G48" s="219">
        <v>1307015</v>
      </c>
      <c r="H48" s="219">
        <v>2032020</v>
      </c>
      <c r="I48" s="219">
        <v>2669640</v>
      </c>
      <c r="J48" s="219">
        <v>2623675</v>
      </c>
      <c r="K48" s="219">
        <v>2472360</v>
      </c>
      <c r="L48" s="219">
        <v>2474366</v>
      </c>
      <c r="M48" s="219">
        <v>1662463</v>
      </c>
      <c r="N48" s="219">
        <v>1220620</v>
      </c>
      <c r="O48" s="219">
        <v>985449</v>
      </c>
      <c r="P48" s="219">
        <v>601834</v>
      </c>
      <c r="Q48" s="219">
        <v>611874</v>
      </c>
      <c r="R48" s="219">
        <v>524169</v>
      </c>
      <c r="S48" s="219">
        <v>394472</v>
      </c>
      <c r="T48" s="219">
        <v>290960</v>
      </c>
      <c r="U48" s="219">
        <v>182510</v>
      </c>
      <c r="V48" s="219">
        <v>93464</v>
      </c>
      <c r="W48" s="219">
        <v>28757</v>
      </c>
      <c r="X48" s="219">
        <v>3293</v>
      </c>
      <c r="Y48" s="219">
        <v>1398</v>
      </c>
      <c r="Z48" s="237">
        <v>1545</v>
      </c>
      <c r="AA48" s="417">
        <f t="shared" si="0"/>
        <v>20514212</v>
      </c>
    </row>
    <row r="49" spans="1:27" s="255" customFormat="1" ht="20.149999999999999" customHeight="1" x14ac:dyDescent="0.55000000000000004">
      <c r="A49" s="227"/>
      <c r="B49" s="768" t="s">
        <v>391</v>
      </c>
      <c r="C49" s="768"/>
      <c r="D49" s="220"/>
      <c r="E49" s="220"/>
      <c r="F49" s="220">
        <v>254167</v>
      </c>
      <c r="G49" s="220">
        <v>220439</v>
      </c>
      <c r="H49" s="220">
        <v>508287</v>
      </c>
      <c r="I49" s="220">
        <v>362475</v>
      </c>
      <c r="J49" s="220">
        <v>139877</v>
      </c>
      <c r="K49" s="220">
        <v>93680</v>
      </c>
      <c r="L49" s="220">
        <v>64255</v>
      </c>
      <c r="M49" s="220">
        <v>23367</v>
      </c>
      <c r="N49" s="220"/>
      <c r="O49" s="220"/>
      <c r="P49" s="220"/>
      <c r="Q49" s="220"/>
      <c r="R49" s="220"/>
      <c r="S49" s="220"/>
      <c r="T49" s="220"/>
      <c r="U49" s="220"/>
      <c r="V49" s="220"/>
      <c r="W49" s="220"/>
      <c r="X49" s="220"/>
      <c r="Y49" s="220"/>
      <c r="Z49" s="236"/>
      <c r="AA49" s="415">
        <f t="shared" si="0"/>
        <v>1666547</v>
      </c>
    </row>
    <row r="50" spans="1:27" s="255" customFormat="1" ht="20.149999999999999" customHeight="1" x14ac:dyDescent="0.55000000000000004">
      <c r="A50" s="412"/>
      <c r="B50" s="413"/>
      <c r="C50" s="413"/>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21"/>
    </row>
    <row r="51" spans="1:27" s="255" customFormat="1" ht="20.149999999999999" customHeight="1" x14ac:dyDescent="0.55000000000000004">
      <c r="A51" s="22"/>
      <c r="B51" s="22"/>
      <c r="C51" s="22"/>
      <c r="F51" s="254"/>
    </row>
    <row r="52" spans="1:27" s="255" customFormat="1" ht="20.149999999999999" customHeight="1" x14ac:dyDescent="0.55000000000000004">
      <c r="A52" s="774" t="s">
        <v>393</v>
      </c>
      <c r="B52" s="775"/>
      <c r="C52" s="776"/>
      <c r="D52" s="435" t="s">
        <v>371</v>
      </c>
      <c r="E52" s="435" t="s">
        <v>370</v>
      </c>
      <c r="F52" s="435" t="s">
        <v>369</v>
      </c>
      <c r="G52" s="435" t="s">
        <v>368</v>
      </c>
      <c r="H52" s="435" t="s">
        <v>367</v>
      </c>
      <c r="I52" s="435" t="s">
        <v>366</v>
      </c>
      <c r="J52" s="435" t="s">
        <v>365</v>
      </c>
      <c r="K52" s="435" t="s">
        <v>364</v>
      </c>
      <c r="L52" s="435" t="s">
        <v>363</v>
      </c>
      <c r="M52" s="435" t="s">
        <v>362</v>
      </c>
      <c r="N52" s="435" t="s">
        <v>361</v>
      </c>
      <c r="O52" s="435" t="s">
        <v>360</v>
      </c>
      <c r="P52" s="435" t="s">
        <v>359</v>
      </c>
      <c r="Q52" s="435" t="s">
        <v>358</v>
      </c>
      <c r="R52" s="435" t="s">
        <v>357</v>
      </c>
      <c r="S52" s="435" t="s">
        <v>356</v>
      </c>
      <c r="T52" s="435" t="s">
        <v>355</v>
      </c>
      <c r="U52" s="435" t="s">
        <v>354</v>
      </c>
      <c r="V52" s="435" t="s">
        <v>353</v>
      </c>
      <c r="W52" s="435" t="s">
        <v>352</v>
      </c>
      <c r="X52" s="435" t="s">
        <v>351</v>
      </c>
      <c r="Y52" s="435" t="s">
        <v>350</v>
      </c>
      <c r="Z52" s="435" t="s">
        <v>271</v>
      </c>
      <c r="AA52" s="436" t="s">
        <v>113</v>
      </c>
    </row>
    <row r="53" spans="1:27" s="255" customFormat="1" ht="20.149999999999999" customHeight="1" x14ac:dyDescent="0.55000000000000004">
      <c r="A53" s="769" t="s">
        <v>392</v>
      </c>
      <c r="B53" s="770"/>
      <c r="C53" s="770"/>
      <c r="D53" s="217">
        <f>D39+D43+D47</f>
        <v>2628421</v>
      </c>
      <c r="E53" s="217">
        <f t="shared" ref="E53:Z53" si="6">E39+E43+E47</f>
        <v>49093729</v>
      </c>
      <c r="F53" s="217">
        <f t="shared" si="6"/>
        <v>19372148</v>
      </c>
      <c r="G53" s="217">
        <f t="shared" si="6"/>
        <v>8425501</v>
      </c>
      <c r="H53" s="217">
        <f t="shared" si="6"/>
        <v>6149020</v>
      </c>
      <c r="I53" s="217">
        <f t="shared" si="6"/>
        <v>4335489</v>
      </c>
      <c r="J53" s="217">
        <f t="shared" si="6"/>
        <v>2946256</v>
      </c>
      <c r="K53" s="217">
        <f t="shared" si="6"/>
        <v>2659411</v>
      </c>
      <c r="L53" s="217">
        <f t="shared" si="6"/>
        <v>2623025</v>
      </c>
      <c r="M53" s="217">
        <f t="shared" si="6"/>
        <v>1726277</v>
      </c>
      <c r="N53" s="217">
        <f t="shared" si="6"/>
        <v>1252312</v>
      </c>
      <c r="O53" s="217">
        <f t="shared" si="6"/>
        <v>1013688</v>
      </c>
      <c r="P53" s="217">
        <f t="shared" si="6"/>
        <v>627710</v>
      </c>
      <c r="Q53" s="217">
        <f t="shared" si="6"/>
        <v>636649</v>
      </c>
      <c r="R53" s="217">
        <f t="shared" si="6"/>
        <v>526172</v>
      </c>
      <c r="S53" s="217">
        <f t="shared" si="6"/>
        <v>395049</v>
      </c>
      <c r="T53" s="217">
        <f t="shared" si="6"/>
        <v>291522</v>
      </c>
      <c r="U53" s="217">
        <f t="shared" si="6"/>
        <v>182526</v>
      </c>
      <c r="V53" s="217">
        <f t="shared" si="6"/>
        <v>93464</v>
      </c>
      <c r="W53" s="217">
        <f t="shared" si="6"/>
        <v>28757</v>
      </c>
      <c r="X53" s="217">
        <f t="shared" si="6"/>
        <v>3293</v>
      </c>
      <c r="Y53" s="217">
        <f t="shared" si="6"/>
        <v>1398</v>
      </c>
      <c r="Z53" s="238">
        <f t="shared" si="6"/>
        <v>1545</v>
      </c>
      <c r="AA53" s="422">
        <f t="shared" si="0"/>
        <v>105013362</v>
      </c>
    </row>
  </sheetData>
  <customSheetViews>
    <customSheetView guid="{501209ED-4B79-4E52-B95E-748E5E77E24F}">
      <selection activeCell="B1" sqref="B1"/>
      <pageMargins left="0.59055118110236227" right="0.59055118110236227" top="0.59055118110236227" bottom="0.59055118110236227" header="0.31496062992125984" footer="0.31496062992125984"/>
      <printOptions horizontalCentered="1"/>
      <pageSetup paperSize="9" scale="29" orientation="portrait" r:id="rId1"/>
    </customSheetView>
  </customSheetViews>
  <mergeCells count="25">
    <mergeCell ref="A10:C10"/>
    <mergeCell ref="A11:C11"/>
    <mergeCell ref="A13:C13"/>
    <mergeCell ref="A25:C25"/>
    <mergeCell ref="A36:C36"/>
    <mergeCell ref="B14:C14"/>
    <mergeCell ref="B12:C12"/>
    <mergeCell ref="B23:C24"/>
    <mergeCell ref="B26:C26"/>
    <mergeCell ref="B29:C29"/>
    <mergeCell ref="B32:C33"/>
    <mergeCell ref="B18:C18"/>
    <mergeCell ref="B21:C22"/>
    <mergeCell ref="B34:C35"/>
    <mergeCell ref="B49:C49"/>
    <mergeCell ref="A53:C53"/>
    <mergeCell ref="A42:C42"/>
    <mergeCell ref="A46:C46"/>
    <mergeCell ref="A52:C52"/>
    <mergeCell ref="A43:C43"/>
    <mergeCell ref="B38:C38"/>
    <mergeCell ref="B37:C37"/>
    <mergeCell ref="A39:C39"/>
    <mergeCell ref="A47:C47"/>
    <mergeCell ref="B48:C48"/>
  </mergeCells>
  <phoneticPr fontId="1"/>
  <hyperlinks>
    <hyperlink ref="A1:C1" location="目次!A1" display="目次へ戻る"/>
  </hyperlinks>
  <printOptions horizontalCentered="1"/>
  <pageMargins left="0.59055118110236227" right="0.59055118110236227" top="0.59055118110236227" bottom="0.59055118110236227" header="0.31496062992125984" footer="0.31496062992125984"/>
  <pageSetup paperSize="9" scale="2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heetViews>
  <sheetFormatPr defaultColWidth="8.58203125" defaultRowHeight="14" x14ac:dyDescent="0.3"/>
  <cols>
    <col min="1" max="1" width="14.33203125" style="1" bestFit="1" customWidth="1"/>
    <col min="2" max="2" width="20.08203125" style="1" bestFit="1" customWidth="1"/>
    <col min="3" max="3" width="60.58203125" style="1" customWidth="1"/>
    <col min="4" max="4" width="14.33203125" style="1" bestFit="1" customWidth="1"/>
    <col min="5" max="5" width="10.33203125" style="1" bestFit="1" customWidth="1"/>
    <col min="6" max="6" width="10.33203125" style="2" bestFit="1" customWidth="1"/>
    <col min="7" max="26" width="10.33203125" style="1" bestFit="1" customWidth="1"/>
    <col min="27" max="27" width="11.08203125" style="1" bestFit="1" customWidth="1"/>
    <col min="28" max="16384" width="8.58203125" style="1"/>
  </cols>
  <sheetData>
    <row r="1" spans="1:6" ht="14.5" x14ac:dyDescent="0.3">
      <c r="A1" s="432" t="s">
        <v>438</v>
      </c>
      <c r="B1" s="432"/>
      <c r="C1" s="432"/>
    </row>
    <row r="3" spans="1:6" s="253" customFormat="1" ht="20.149999999999999" customHeight="1" x14ac:dyDescent="0.55000000000000004">
      <c r="A3" s="252" t="s">
        <v>321</v>
      </c>
      <c r="C3" s="252"/>
    </row>
    <row r="4" spans="1:6" s="253" customFormat="1" ht="20.149999999999999" customHeight="1" x14ac:dyDescent="0.55000000000000004">
      <c r="A4" s="252" t="s">
        <v>440</v>
      </c>
      <c r="C4" s="252"/>
    </row>
    <row r="5" spans="1:6" s="255" customFormat="1" ht="14.5" x14ac:dyDescent="0.55000000000000004">
      <c r="A5" s="22"/>
      <c r="C5" s="22"/>
      <c r="F5" s="254"/>
    </row>
    <row r="6" spans="1:6" s="5" customFormat="1" ht="14.5" x14ac:dyDescent="0.35">
      <c r="A6" s="5" t="s">
        <v>441</v>
      </c>
      <c r="F6" s="4"/>
    </row>
    <row r="7" spans="1:6" s="5" customFormat="1" ht="14.5" x14ac:dyDescent="0.35">
      <c r="A7" s="30" t="s">
        <v>496</v>
      </c>
      <c r="F7" s="4"/>
    </row>
    <row r="8" spans="1:6" s="5" customFormat="1" ht="14.5" x14ac:dyDescent="0.35">
      <c r="A8" s="30" t="s">
        <v>497</v>
      </c>
      <c r="F8" s="4"/>
    </row>
    <row r="9" spans="1:6" s="5" customFormat="1" ht="14.5" x14ac:dyDescent="0.35">
      <c r="A9" s="30" t="s">
        <v>498</v>
      </c>
      <c r="F9" s="4"/>
    </row>
    <row r="10" spans="1:6" s="5" customFormat="1" ht="14.5" x14ac:dyDescent="0.35">
      <c r="F10" s="4"/>
    </row>
    <row r="11" spans="1:6" s="5" customFormat="1" ht="14.5" x14ac:dyDescent="0.35">
      <c r="A11" s="5" t="s">
        <v>442</v>
      </c>
      <c r="F11" s="4"/>
    </row>
    <row r="12" spans="1:6" s="5" customFormat="1" ht="14.5" x14ac:dyDescent="0.35">
      <c r="F12" s="4"/>
    </row>
    <row r="13" spans="1:6" s="5" customFormat="1" ht="14.5" x14ac:dyDescent="0.35">
      <c r="A13" s="440" t="s">
        <v>481</v>
      </c>
      <c r="F13" s="4"/>
    </row>
    <row r="14" spans="1:6" s="5" customFormat="1" ht="14.5" x14ac:dyDescent="0.35">
      <c r="A14" s="462" t="s">
        <v>443</v>
      </c>
      <c r="B14" s="462" t="s">
        <v>444</v>
      </c>
      <c r="C14" s="462" t="s">
        <v>445</v>
      </c>
      <c r="D14" s="462" t="s">
        <v>446</v>
      </c>
    </row>
    <row r="15" spans="1:6" s="5" customFormat="1" ht="72.5" x14ac:dyDescent="0.35">
      <c r="A15" s="781" t="s">
        <v>447</v>
      </c>
      <c r="B15" s="458" t="s">
        <v>448</v>
      </c>
      <c r="C15" s="459" t="s">
        <v>483</v>
      </c>
      <c r="D15" s="460" t="s">
        <v>449</v>
      </c>
    </row>
    <row r="16" spans="1:6" s="5" customFormat="1" ht="72.5" x14ac:dyDescent="0.35">
      <c r="A16" s="782"/>
      <c r="B16" s="456" t="s">
        <v>450</v>
      </c>
      <c r="C16" s="457" t="s">
        <v>482</v>
      </c>
      <c r="D16" s="457" t="s">
        <v>451</v>
      </c>
    </row>
    <row r="17" spans="1:6" s="5" customFormat="1" ht="72.5" x14ac:dyDescent="0.35">
      <c r="A17" s="781" t="s">
        <v>452</v>
      </c>
      <c r="B17" s="458" t="s">
        <v>453</v>
      </c>
      <c r="C17" s="459" t="s">
        <v>484</v>
      </c>
      <c r="D17" s="460" t="s">
        <v>454</v>
      </c>
    </row>
    <row r="18" spans="1:6" s="5" customFormat="1" ht="87" x14ac:dyDescent="0.35">
      <c r="A18" s="782"/>
      <c r="B18" s="456" t="s">
        <v>455</v>
      </c>
      <c r="C18" s="461" t="s">
        <v>485</v>
      </c>
      <c r="D18" s="457" t="s">
        <v>456</v>
      </c>
    </row>
    <row r="19" spans="1:6" s="5" customFormat="1" ht="72.5" x14ac:dyDescent="0.35">
      <c r="A19" s="463" t="s">
        <v>457</v>
      </c>
      <c r="B19" s="453" t="s">
        <v>458</v>
      </c>
      <c r="C19" s="454" t="s">
        <v>486</v>
      </c>
      <c r="D19" s="455" t="s">
        <v>459</v>
      </c>
    </row>
    <row r="20" spans="1:6" s="5" customFormat="1" ht="72.5" x14ac:dyDescent="0.35">
      <c r="A20" s="463" t="s">
        <v>460</v>
      </c>
      <c r="B20" s="453" t="s">
        <v>461</v>
      </c>
      <c r="C20" s="454" t="s">
        <v>487</v>
      </c>
      <c r="D20" s="455" t="s">
        <v>462</v>
      </c>
    </row>
    <row r="21" spans="1:6" s="5" customFormat="1" ht="58" x14ac:dyDescent="0.35">
      <c r="A21" s="463" t="s">
        <v>463</v>
      </c>
      <c r="B21" s="453"/>
      <c r="C21" s="454" t="s">
        <v>488</v>
      </c>
      <c r="D21" s="455" t="s">
        <v>464</v>
      </c>
    </row>
    <row r="22" spans="1:6" s="5" customFormat="1" ht="116" x14ac:dyDescent="0.35">
      <c r="A22" s="464" t="s">
        <v>465</v>
      </c>
      <c r="B22" s="453" t="s">
        <v>461</v>
      </c>
      <c r="C22" s="454" t="s">
        <v>489</v>
      </c>
      <c r="D22" s="455" t="s">
        <v>466</v>
      </c>
    </row>
    <row r="23" spans="1:6" s="5" customFormat="1" ht="58" x14ac:dyDescent="0.35">
      <c r="A23" s="464" t="s">
        <v>467</v>
      </c>
      <c r="B23" s="453" t="s">
        <v>468</v>
      </c>
      <c r="C23" s="454" t="s">
        <v>490</v>
      </c>
      <c r="D23" s="455" t="s">
        <v>469</v>
      </c>
    </row>
    <row r="24" spans="1:6" s="5" customFormat="1" ht="14.5" x14ac:dyDescent="0.35">
      <c r="A24" s="440"/>
      <c r="B24" s="440"/>
      <c r="C24" s="440"/>
      <c r="D24" s="441"/>
      <c r="E24" s="441"/>
      <c r="F24" s="441"/>
    </row>
    <row r="25" spans="1:6" s="5" customFormat="1" ht="14.5" x14ac:dyDescent="0.35">
      <c r="A25" s="440" t="s">
        <v>470</v>
      </c>
      <c r="B25" s="442"/>
      <c r="C25" s="440"/>
      <c r="D25" s="441"/>
      <c r="E25" s="441"/>
      <c r="F25" s="441"/>
    </row>
    <row r="26" spans="1:6" s="5" customFormat="1" ht="14.5" x14ac:dyDescent="0.35">
      <c r="A26" s="465" t="s">
        <v>443</v>
      </c>
      <c r="B26" s="465" t="s">
        <v>444</v>
      </c>
      <c r="C26" s="465" t="s">
        <v>445</v>
      </c>
      <c r="D26" s="465" t="s">
        <v>446</v>
      </c>
      <c r="E26" s="441"/>
    </row>
    <row r="27" spans="1:6" s="5" customFormat="1" ht="72.5" x14ac:dyDescent="0.35">
      <c r="A27" s="781" t="s">
        <v>447</v>
      </c>
      <c r="B27" s="453" t="s">
        <v>448</v>
      </c>
      <c r="C27" s="455" t="s">
        <v>491</v>
      </c>
      <c r="D27" s="455" t="s">
        <v>471</v>
      </c>
    </row>
    <row r="28" spans="1:6" s="5" customFormat="1" ht="43.5" x14ac:dyDescent="0.35">
      <c r="A28" s="782"/>
      <c r="B28" s="453" t="s">
        <v>450</v>
      </c>
      <c r="C28" s="455" t="s">
        <v>492</v>
      </c>
      <c r="D28" s="455" t="s">
        <v>472</v>
      </c>
    </row>
    <row r="29" spans="1:6" s="5" customFormat="1" ht="58" x14ac:dyDescent="0.35">
      <c r="A29" s="464" t="s">
        <v>473</v>
      </c>
      <c r="B29" s="453" t="s">
        <v>461</v>
      </c>
      <c r="C29" s="455" t="s">
        <v>493</v>
      </c>
      <c r="D29" s="455" t="s">
        <v>474</v>
      </c>
    </row>
    <row r="30" spans="1:6" s="5" customFormat="1" ht="43.5" x14ac:dyDescent="0.35">
      <c r="A30" s="464" t="s">
        <v>475</v>
      </c>
      <c r="B30" s="453" t="s">
        <v>476</v>
      </c>
      <c r="C30" s="455" t="s">
        <v>494</v>
      </c>
      <c r="D30" s="455" t="s">
        <v>477</v>
      </c>
    </row>
    <row r="31" spans="1:6" s="5" customFormat="1" ht="43.5" x14ac:dyDescent="0.35">
      <c r="A31" s="464" t="s">
        <v>478</v>
      </c>
      <c r="B31" s="453" t="s">
        <v>479</v>
      </c>
      <c r="C31" s="455" t="s">
        <v>495</v>
      </c>
      <c r="D31" s="455" t="s">
        <v>480</v>
      </c>
    </row>
  </sheetData>
  <customSheetViews>
    <customSheetView guid="{501209ED-4B79-4E52-B95E-748E5E77E24F}">
      <pageMargins left="0.59055118110236227" right="0.59055118110236227" top="0.59055118110236227" bottom="0.59055118110236227" header="0.31496062992125984" footer="0.31496062992125984"/>
      <printOptions horizontalCentered="1"/>
      <pageSetup paperSize="9" scale="29" orientation="portrait" r:id="rId1"/>
    </customSheetView>
  </customSheetViews>
  <mergeCells count="3">
    <mergeCell ref="A15:A16"/>
    <mergeCell ref="A17:A18"/>
    <mergeCell ref="A27:A28"/>
  </mergeCells>
  <phoneticPr fontId="1"/>
  <hyperlinks>
    <hyperlink ref="A1:C1" location="目次!A1" display="目次へ戻る"/>
  </hyperlinks>
  <printOptions horizontalCentered="1"/>
  <pageMargins left="0.59055118110236227" right="0.59055118110236227" top="0.59055118110236227" bottom="0.59055118110236227" header="0.31496062992125984" footer="0.31496062992125984"/>
  <pageSetup paperSize="9" scale="2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zoomScale="85" zoomScaleNormal="85" zoomScaleSheetLayoutView="100" workbookViewId="0">
      <pane xSplit="2" ySplit="13" topLeftCell="C14" activePane="bottomRight" state="frozen"/>
      <selection pane="topRight" activeCell="C1" sqref="C1"/>
      <selection pane="bottomLeft" activeCell="A14" sqref="A14"/>
      <selection pane="bottomRight"/>
    </sheetView>
  </sheetViews>
  <sheetFormatPr defaultColWidth="8.58203125" defaultRowHeight="14.5" outlineLevelRow="1" x14ac:dyDescent="0.35"/>
  <cols>
    <col min="1" max="1" width="12.58203125" style="2" customWidth="1"/>
    <col min="2" max="2" width="12.58203125" style="4" customWidth="1"/>
    <col min="3" max="22" width="12.58203125" style="1" customWidth="1"/>
    <col min="23" max="16384" width="8.58203125" style="1"/>
  </cols>
  <sheetData>
    <row r="1" spans="1:22" x14ac:dyDescent="0.35">
      <c r="A1" s="432" t="s">
        <v>438</v>
      </c>
    </row>
    <row r="3" spans="1:22" s="253" customFormat="1" ht="20.149999999999999" customHeight="1" x14ac:dyDescent="0.55000000000000004">
      <c r="A3" s="252" t="s">
        <v>114</v>
      </c>
    </row>
    <row r="4" spans="1:22" s="253" customFormat="1" ht="20.149999999999999" customHeight="1" x14ac:dyDescent="0.55000000000000004">
      <c r="A4" s="252" t="s">
        <v>116</v>
      </c>
    </row>
    <row r="5" spans="1:22" s="253" customFormat="1" ht="14.5" customHeight="1" x14ac:dyDescent="0.55000000000000004">
      <c r="A5" s="46"/>
      <c r="B5" s="252"/>
    </row>
    <row r="6" spans="1:22" s="22" customFormat="1" x14ac:dyDescent="0.55000000000000004">
      <c r="A6" s="17" t="s">
        <v>28</v>
      </c>
      <c r="B6" s="18" t="s">
        <v>1106</v>
      </c>
    </row>
    <row r="7" spans="1:22" s="22" customFormat="1" x14ac:dyDescent="0.55000000000000004">
      <c r="A7" s="15"/>
      <c r="B7" s="18" t="s">
        <v>1097</v>
      </c>
    </row>
    <row r="8" spans="1:22" s="22" customFormat="1" x14ac:dyDescent="0.55000000000000004">
      <c r="A8" s="15"/>
      <c r="B8" s="18" t="s">
        <v>30</v>
      </c>
    </row>
    <row r="9" spans="1:22" s="253" customFormat="1" ht="14.5" customHeight="1" x14ac:dyDescent="0.55000000000000004">
      <c r="A9" s="46"/>
      <c r="B9" s="30" t="s">
        <v>1103</v>
      </c>
      <c r="C9" s="16"/>
    </row>
    <row r="10" spans="1:22" s="253" customFormat="1" ht="18.5" x14ac:dyDescent="0.55000000000000004">
      <c r="A10" s="16" t="s">
        <v>32</v>
      </c>
      <c r="B10" s="252"/>
    </row>
    <row r="11" spans="1:22" s="9" customFormat="1" ht="20.149999999999999" customHeight="1" x14ac:dyDescent="0.55000000000000004">
      <c r="A11" s="10"/>
      <c r="C11" s="661" t="s">
        <v>11</v>
      </c>
      <c r="D11" s="661"/>
      <c r="E11" s="661"/>
      <c r="F11" s="661"/>
      <c r="G11" s="661"/>
      <c r="H11" s="662"/>
      <c r="I11" s="661" t="s">
        <v>12</v>
      </c>
      <c r="J11" s="661"/>
      <c r="K11" s="661"/>
      <c r="L11" s="661"/>
      <c r="M11" s="661"/>
      <c r="N11" s="661"/>
      <c r="O11" s="661"/>
      <c r="P11" s="657" t="s">
        <v>13</v>
      </c>
      <c r="Q11" s="658"/>
      <c r="R11" s="658"/>
      <c r="S11" s="658"/>
      <c r="T11" s="658"/>
      <c r="U11" s="658"/>
      <c r="V11" s="658"/>
    </row>
    <row r="12" spans="1:22" s="9" customFormat="1" ht="20.149999999999999" customHeight="1" x14ac:dyDescent="0.55000000000000004">
      <c r="A12" s="10"/>
      <c r="C12" s="646" t="s">
        <v>33</v>
      </c>
      <c r="D12" s="646" t="s">
        <v>34</v>
      </c>
      <c r="E12" s="646" t="s">
        <v>31</v>
      </c>
      <c r="F12" s="653" t="s">
        <v>10</v>
      </c>
      <c r="G12" s="653"/>
      <c r="H12" s="650"/>
      <c r="I12" s="646" t="s">
        <v>35</v>
      </c>
      <c r="J12" s="646" t="s">
        <v>36</v>
      </c>
      <c r="K12" s="646" t="s">
        <v>31</v>
      </c>
      <c r="L12" s="653" t="s">
        <v>10</v>
      </c>
      <c r="M12" s="653"/>
      <c r="N12" s="653"/>
      <c r="O12" s="653"/>
      <c r="P12" s="660" t="s">
        <v>35</v>
      </c>
      <c r="Q12" s="646" t="s">
        <v>36</v>
      </c>
      <c r="R12" s="659" t="s">
        <v>31</v>
      </c>
      <c r="S12" s="653" t="s">
        <v>10</v>
      </c>
      <c r="T12" s="653"/>
      <c r="U12" s="653"/>
      <c r="V12" s="653"/>
    </row>
    <row r="13" spans="1:22" s="9" customFormat="1" ht="43.5" x14ac:dyDescent="0.55000000000000004">
      <c r="A13" s="10"/>
      <c r="C13" s="646"/>
      <c r="D13" s="646"/>
      <c r="E13" s="646"/>
      <c r="F13" s="264" t="s">
        <v>5</v>
      </c>
      <c r="G13" s="264" t="s">
        <v>6</v>
      </c>
      <c r="H13" s="268" t="s">
        <v>14</v>
      </c>
      <c r="I13" s="646"/>
      <c r="J13" s="646"/>
      <c r="K13" s="646"/>
      <c r="L13" s="264" t="s">
        <v>5</v>
      </c>
      <c r="M13" s="264" t="s">
        <v>6</v>
      </c>
      <c r="N13" s="264" t="s">
        <v>14</v>
      </c>
      <c r="O13" s="264" t="s">
        <v>17</v>
      </c>
      <c r="P13" s="660"/>
      <c r="Q13" s="646"/>
      <c r="R13" s="659"/>
      <c r="S13" s="264" t="s">
        <v>5</v>
      </c>
      <c r="T13" s="264" t="s">
        <v>6</v>
      </c>
      <c r="U13" s="264" t="s">
        <v>14</v>
      </c>
      <c r="V13" s="264" t="s">
        <v>17</v>
      </c>
    </row>
    <row r="14" spans="1:22" s="22" customFormat="1" ht="20.149999999999999" customHeight="1" x14ac:dyDescent="0.55000000000000004">
      <c r="A14" s="21"/>
      <c r="B14" s="538" t="s">
        <v>1110</v>
      </c>
      <c r="C14" s="11">
        <f>SUM(C16:C25)</f>
        <v>596059</v>
      </c>
      <c r="D14" s="11">
        <f t="shared" ref="D14:O14" si="0">SUM(D16:D25)</f>
        <v>25016190</v>
      </c>
      <c r="E14" s="11">
        <f t="shared" si="0"/>
        <v>25612249</v>
      </c>
      <c r="F14" s="11">
        <f t="shared" si="0"/>
        <v>67203</v>
      </c>
      <c r="G14" s="11">
        <f t="shared" si="0"/>
        <v>0</v>
      </c>
      <c r="H14" s="11">
        <f t="shared" si="0"/>
        <v>25545046</v>
      </c>
      <c r="I14" s="12">
        <f t="shared" si="0"/>
        <v>2239075</v>
      </c>
      <c r="J14" s="11">
        <f t="shared" si="0"/>
        <v>101139967</v>
      </c>
      <c r="K14" s="13">
        <f t="shared" si="0"/>
        <v>103379042</v>
      </c>
      <c r="L14" s="11">
        <f t="shared" si="0"/>
        <v>82885</v>
      </c>
      <c r="M14" s="11">
        <f t="shared" si="0"/>
        <v>2</v>
      </c>
      <c r="N14" s="11">
        <f t="shared" si="0"/>
        <v>103296158</v>
      </c>
      <c r="O14" s="256">
        <f t="shared" si="0"/>
        <v>1875960</v>
      </c>
      <c r="P14" s="11">
        <f>SUM(P16:P25)</f>
        <v>2835134</v>
      </c>
      <c r="Q14" s="11">
        <f t="shared" ref="Q14:V14" si="1">SUM(Q16:Q25)</f>
        <v>126156157</v>
      </c>
      <c r="R14" s="13">
        <f t="shared" si="1"/>
        <v>128991291</v>
      </c>
      <c r="S14" s="13">
        <f t="shared" si="1"/>
        <v>150088</v>
      </c>
      <c r="T14" s="11">
        <f t="shared" si="1"/>
        <v>2</v>
      </c>
      <c r="U14" s="11">
        <f t="shared" si="1"/>
        <v>128841204</v>
      </c>
      <c r="V14" s="257">
        <f t="shared" si="1"/>
        <v>1875960</v>
      </c>
    </row>
    <row r="15" spans="1:22" s="22" customFormat="1" ht="20.149999999999999" customHeight="1" x14ac:dyDescent="0.55000000000000004">
      <c r="A15" s="547"/>
      <c r="B15" s="551" t="s">
        <v>1101</v>
      </c>
      <c r="C15" s="11"/>
      <c r="D15" s="11"/>
      <c r="E15" s="11"/>
      <c r="F15" s="11"/>
      <c r="G15" s="11"/>
      <c r="H15" s="11"/>
      <c r="I15" s="12"/>
      <c r="J15" s="11"/>
      <c r="K15" s="11"/>
      <c r="L15" s="11"/>
      <c r="M15" s="11"/>
      <c r="N15" s="11"/>
      <c r="O15" s="256"/>
      <c r="P15" s="11"/>
      <c r="Q15" s="11"/>
      <c r="R15" s="11"/>
      <c r="S15" s="11"/>
      <c r="T15" s="11"/>
      <c r="U15" s="11"/>
      <c r="V15" s="256"/>
    </row>
    <row r="16" spans="1:22" s="255" customFormat="1" ht="20.149999999999999" customHeight="1" outlineLevel="1" x14ac:dyDescent="0.55000000000000004">
      <c r="A16" s="34"/>
      <c r="B16" s="544" t="s">
        <v>18</v>
      </c>
      <c r="C16" s="269">
        <v>88195</v>
      </c>
      <c r="D16" s="269">
        <v>5864534</v>
      </c>
      <c r="E16" s="11">
        <f>C16+D16</f>
        <v>5952729</v>
      </c>
      <c r="F16" s="11">
        <v>8879</v>
      </c>
      <c r="G16" s="11">
        <v>0</v>
      </c>
      <c r="H16" s="11">
        <v>5943849</v>
      </c>
      <c r="I16" s="560">
        <v>326167</v>
      </c>
      <c r="J16" s="11">
        <v>19188575</v>
      </c>
      <c r="K16" s="11">
        <f>I16+J16</f>
        <v>19514742</v>
      </c>
      <c r="L16" s="269">
        <v>10484</v>
      </c>
      <c r="M16" s="269">
        <v>0</v>
      </c>
      <c r="N16" s="269">
        <v>19504258</v>
      </c>
      <c r="O16" s="270">
        <v>0</v>
      </c>
      <c r="P16" s="269">
        <f>C16+I16</f>
        <v>414362</v>
      </c>
      <c r="Q16" s="11">
        <f>D16+J16</f>
        <v>25053109</v>
      </c>
      <c r="R16" s="11">
        <f>P16+Q16</f>
        <v>25467471</v>
      </c>
      <c r="S16" s="11">
        <f t="shared" ref="S16:S25" si="2">F16+L16</f>
        <v>19363</v>
      </c>
      <c r="T16" s="11">
        <f t="shared" ref="T16:T25" si="3">G16+M16</f>
        <v>0</v>
      </c>
      <c r="U16" s="11">
        <f t="shared" ref="U16:U25" si="4">H16+N16</f>
        <v>25448107</v>
      </c>
      <c r="V16" s="256">
        <f>O16</f>
        <v>0</v>
      </c>
    </row>
    <row r="17" spans="1:22" s="255" customFormat="1" ht="20.149999999999999" customHeight="1" outlineLevel="1" x14ac:dyDescent="0.55000000000000004">
      <c r="B17" s="545" t="s">
        <v>19</v>
      </c>
      <c r="C17" s="23">
        <v>55396</v>
      </c>
      <c r="D17" s="23">
        <v>2505396</v>
      </c>
      <c r="E17" s="11">
        <f t="shared" ref="E17:E25" si="5">C17+D17</f>
        <v>2560792</v>
      </c>
      <c r="F17" s="13">
        <v>6318</v>
      </c>
      <c r="G17" s="13">
        <v>0</v>
      </c>
      <c r="H17" s="13">
        <v>2554474</v>
      </c>
      <c r="I17" s="561">
        <v>197979</v>
      </c>
      <c r="J17" s="13">
        <v>9807806</v>
      </c>
      <c r="K17" s="11">
        <f t="shared" ref="K17:K25" si="6">I17+J17</f>
        <v>10005785</v>
      </c>
      <c r="L17" s="23">
        <v>6260</v>
      </c>
      <c r="M17" s="23">
        <v>0</v>
      </c>
      <c r="N17" s="23">
        <v>9999525</v>
      </c>
      <c r="O17" s="271">
        <v>0</v>
      </c>
      <c r="P17" s="23">
        <f>C17+I17</f>
        <v>253375</v>
      </c>
      <c r="Q17" s="11">
        <f>D17+J17</f>
        <v>12313202</v>
      </c>
      <c r="R17" s="11">
        <f t="shared" ref="R17:R25" si="7">P17+Q17</f>
        <v>12566577</v>
      </c>
      <c r="S17" s="11">
        <f t="shared" si="2"/>
        <v>12578</v>
      </c>
      <c r="T17" s="11">
        <f t="shared" si="3"/>
        <v>0</v>
      </c>
      <c r="U17" s="11">
        <f t="shared" si="4"/>
        <v>12553999</v>
      </c>
      <c r="V17" s="257">
        <f>O17</f>
        <v>0</v>
      </c>
    </row>
    <row r="18" spans="1:22" s="255" customFormat="1" ht="20.149999999999999" customHeight="1" outlineLevel="1" x14ac:dyDescent="0.55000000000000004">
      <c r="A18" s="261"/>
      <c r="B18" s="545" t="s">
        <v>20</v>
      </c>
      <c r="C18" s="23">
        <v>73296</v>
      </c>
      <c r="D18" s="23">
        <v>3644967</v>
      </c>
      <c r="E18" s="11">
        <f t="shared" si="5"/>
        <v>3718263</v>
      </c>
      <c r="F18" s="13">
        <v>10320</v>
      </c>
      <c r="G18" s="13">
        <v>0</v>
      </c>
      <c r="H18" s="13">
        <v>3707944</v>
      </c>
      <c r="I18" s="561">
        <v>214493</v>
      </c>
      <c r="J18" s="13">
        <v>11683353</v>
      </c>
      <c r="K18" s="11">
        <f t="shared" si="6"/>
        <v>11897846</v>
      </c>
      <c r="L18" s="23">
        <v>5780</v>
      </c>
      <c r="M18" s="23">
        <v>1</v>
      </c>
      <c r="N18" s="23">
        <v>11892065</v>
      </c>
      <c r="O18" s="271">
        <v>0</v>
      </c>
      <c r="P18" s="23">
        <f t="shared" ref="P18:P25" si="8">C18+I18</f>
        <v>287789</v>
      </c>
      <c r="Q18" s="11">
        <f t="shared" ref="Q18:Q25" si="9">D18+J18</f>
        <v>15328320</v>
      </c>
      <c r="R18" s="11">
        <f t="shared" si="7"/>
        <v>15616109</v>
      </c>
      <c r="S18" s="11">
        <f t="shared" si="2"/>
        <v>16100</v>
      </c>
      <c r="T18" s="11">
        <f t="shared" si="3"/>
        <v>1</v>
      </c>
      <c r="U18" s="11">
        <f t="shared" si="4"/>
        <v>15600009</v>
      </c>
      <c r="V18" s="257">
        <f>O18</f>
        <v>0</v>
      </c>
    </row>
    <row r="19" spans="1:22" s="255" customFormat="1" ht="20.149999999999999" customHeight="1" outlineLevel="1" x14ac:dyDescent="0.55000000000000004">
      <c r="A19" s="261"/>
      <c r="B19" s="545" t="s">
        <v>21</v>
      </c>
      <c r="C19" s="23">
        <v>46988</v>
      </c>
      <c r="D19" s="23">
        <v>1292633</v>
      </c>
      <c r="E19" s="11">
        <f t="shared" si="5"/>
        <v>1339621</v>
      </c>
      <c r="F19" s="13">
        <v>5215</v>
      </c>
      <c r="G19" s="13">
        <v>0</v>
      </c>
      <c r="H19" s="13">
        <v>1334406</v>
      </c>
      <c r="I19" s="561">
        <v>158168</v>
      </c>
      <c r="J19" s="13">
        <v>6050062</v>
      </c>
      <c r="K19" s="11">
        <f t="shared" si="6"/>
        <v>6208230</v>
      </c>
      <c r="L19" s="23">
        <v>5566</v>
      </c>
      <c r="M19" s="23">
        <v>0</v>
      </c>
      <c r="N19" s="23">
        <v>6202664</v>
      </c>
      <c r="O19" s="271">
        <v>0</v>
      </c>
      <c r="P19" s="23">
        <f t="shared" si="8"/>
        <v>205156</v>
      </c>
      <c r="Q19" s="11">
        <f t="shared" si="9"/>
        <v>7342695</v>
      </c>
      <c r="R19" s="11">
        <f t="shared" si="7"/>
        <v>7547851</v>
      </c>
      <c r="S19" s="11">
        <f t="shared" si="2"/>
        <v>10781</v>
      </c>
      <c r="T19" s="11">
        <f t="shared" si="3"/>
        <v>0</v>
      </c>
      <c r="U19" s="11">
        <f t="shared" si="4"/>
        <v>7537070</v>
      </c>
      <c r="V19" s="257">
        <f t="shared" ref="V19:V25" si="10">O19</f>
        <v>0</v>
      </c>
    </row>
    <row r="20" spans="1:22" s="255" customFormat="1" ht="20.149999999999999" customHeight="1" outlineLevel="1" x14ac:dyDescent="0.55000000000000004">
      <c r="A20" s="261"/>
      <c r="B20" s="545" t="s">
        <v>22</v>
      </c>
      <c r="C20" s="23">
        <v>75892</v>
      </c>
      <c r="D20" s="23">
        <v>2618531</v>
      </c>
      <c r="E20" s="11">
        <f t="shared" si="5"/>
        <v>2694423</v>
      </c>
      <c r="F20" s="13">
        <v>8136</v>
      </c>
      <c r="G20" s="13">
        <v>0</v>
      </c>
      <c r="H20" s="13">
        <v>2686287</v>
      </c>
      <c r="I20" s="561">
        <v>319411</v>
      </c>
      <c r="J20" s="13">
        <v>12358152</v>
      </c>
      <c r="K20" s="11">
        <f t="shared" si="6"/>
        <v>12677563</v>
      </c>
      <c r="L20" s="23">
        <v>13605</v>
      </c>
      <c r="M20" s="23">
        <v>0</v>
      </c>
      <c r="N20" s="23">
        <v>12663958</v>
      </c>
      <c r="O20" s="271">
        <v>0</v>
      </c>
      <c r="P20" s="23">
        <f t="shared" si="8"/>
        <v>395303</v>
      </c>
      <c r="Q20" s="11">
        <f t="shared" si="9"/>
        <v>14976683</v>
      </c>
      <c r="R20" s="11">
        <f t="shared" si="7"/>
        <v>15371986</v>
      </c>
      <c r="S20" s="11">
        <f t="shared" si="2"/>
        <v>21741</v>
      </c>
      <c r="T20" s="11">
        <f t="shared" si="3"/>
        <v>0</v>
      </c>
      <c r="U20" s="11">
        <f t="shared" si="4"/>
        <v>15350245</v>
      </c>
      <c r="V20" s="257">
        <f t="shared" si="10"/>
        <v>0</v>
      </c>
    </row>
    <row r="21" spans="1:22" s="255" customFormat="1" ht="20.149999999999999" customHeight="1" outlineLevel="1" x14ac:dyDescent="0.55000000000000004">
      <c r="A21" s="261"/>
      <c r="B21" s="545" t="s">
        <v>23</v>
      </c>
      <c r="C21" s="23">
        <v>38083</v>
      </c>
      <c r="D21" s="23">
        <v>1003331</v>
      </c>
      <c r="E21" s="11">
        <f t="shared" si="5"/>
        <v>1041414</v>
      </c>
      <c r="F21" s="13">
        <v>4954</v>
      </c>
      <c r="G21" s="13">
        <v>0</v>
      </c>
      <c r="H21" s="13">
        <v>1036460</v>
      </c>
      <c r="I21" s="561">
        <v>123891</v>
      </c>
      <c r="J21" s="13">
        <v>4342616</v>
      </c>
      <c r="K21" s="11">
        <f t="shared" si="6"/>
        <v>4466507</v>
      </c>
      <c r="L21" s="23">
        <v>5115</v>
      </c>
      <c r="M21" s="23">
        <v>0</v>
      </c>
      <c r="N21" s="23">
        <v>4461393</v>
      </c>
      <c r="O21" s="271">
        <v>0</v>
      </c>
      <c r="P21" s="23">
        <f t="shared" si="8"/>
        <v>161974</v>
      </c>
      <c r="Q21" s="11">
        <f t="shared" si="9"/>
        <v>5345947</v>
      </c>
      <c r="R21" s="11">
        <f t="shared" si="7"/>
        <v>5507921</v>
      </c>
      <c r="S21" s="11">
        <f t="shared" si="2"/>
        <v>10069</v>
      </c>
      <c r="T21" s="11">
        <f t="shared" si="3"/>
        <v>0</v>
      </c>
      <c r="U21" s="11">
        <f t="shared" si="4"/>
        <v>5497853</v>
      </c>
      <c r="V21" s="257">
        <f t="shared" si="10"/>
        <v>0</v>
      </c>
    </row>
    <row r="22" spans="1:22" s="255" customFormat="1" ht="20.149999999999999" customHeight="1" outlineLevel="1" x14ac:dyDescent="0.55000000000000004">
      <c r="A22" s="261"/>
      <c r="B22" s="545" t="s">
        <v>24</v>
      </c>
      <c r="C22" s="23">
        <v>57797</v>
      </c>
      <c r="D22" s="23">
        <v>1959898</v>
      </c>
      <c r="E22" s="11">
        <f t="shared" si="5"/>
        <v>2017695</v>
      </c>
      <c r="F22" s="13">
        <v>6451</v>
      </c>
      <c r="G22" s="13">
        <v>0</v>
      </c>
      <c r="H22" s="13">
        <v>2011243</v>
      </c>
      <c r="I22" s="561">
        <v>230136</v>
      </c>
      <c r="J22" s="13">
        <v>9403426</v>
      </c>
      <c r="K22" s="11">
        <f t="shared" si="6"/>
        <v>9633562</v>
      </c>
      <c r="L22" s="23">
        <v>9440</v>
      </c>
      <c r="M22" s="23">
        <v>1</v>
      </c>
      <c r="N22" s="23">
        <v>9624121</v>
      </c>
      <c r="O22" s="271">
        <v>0</v>
      </c>
      <c r="P22" s="23">
        <f t="shared" si="8"/>
        <v>287933</v>
      </c>
      <c r="Q22" s="11">
        <f t="shared" si="9"/>
        <v>11363324</v>
      </c>
      <c r="R22" s="11">
        <f t="shared" si="7"/>
        <v>11651257</v>
      </c>
      <c r="S22" s="11">
        <f t="shared" si="2"/>
        <v>15891</v>
      </c>
      <c r="T22" s="11">
        <f t="shared" si="3"/>
        <v>1</v>
      </c>
      <c r="U22" s="11">
        <f t="shared" si="4"/>
        <v>11635364</v>
      </c>
      <c r="V22" s="257">
        <f t="shared" si="10"/>
        <v>0</v>
      </c>
    </row>
    <row r="23" spans="1:22" s="255" customFormat="1" ht="20.149999999999999" customHeight="1" outlineLevel="1" x14ac:dyDescent="0.55000000000000004">
      <c r="A23" s="261"/>
      <c r="B23" s="545" t="s">
        <v>25</v>
      </c>
      <c r="C23" s="23">
        <v>74029</v>
      </c>
      <c r="D23" s="23">
        <v>2743102</v>
      </c>
      <c r="E23" s="11">
        <f t="shared" si="5"/>
        <v>2817131</v>
      </c>
      <c r="F23" s="13">
        <v>8198</v>
      </c>
      <c r="G23" s="13">
        <v>0</v>
      </c>
      <c r="H23" s="13">
        <v>2808934</v>
      </c>
      <c r="I23" s="561">
        <v>309398</v>
      </c>
      <c r="J23" s="13">
        <v>13126857</v>
      </c>
      <c r="K23" s="11">
        <f t="shared" si="6"/>
        <v>13436255</v>
      </c>
      <c r="L23" s="23">
        <v>12387</v>
      </c>
      <c r="M23" s="23">
        <v>0</v>
      </c>
      <c r="N23" s="23">
        <v>13423869</v>
      </c>
      <c r="O23" s="271">
        <v>0</v>
      </c>
      <c r="P23" s="23">
        <f t="shared" si="8"/>
        <v>383427</v>
      </c>
      <c r="Q23" s="11">
        <f t="shared" si="9"/>
        <v>15869959</v>
      </c>
      <c r="R23" s="11">
        <f t="shared" si="7"/>
        <v>16253386</v>
      </c>
      <c r="S23" s="11">
        <f t="shared" si="2"/>
        <v>20585</v>
      </c>
      <c r="T23" s="11">
        <f t="shared" si="3"/>
        <v>0</v>
      </c>
      <c r="U23" s="11">
        <f t="shared" si="4"/>
        <v>16232803</v>
      </c>
      <c r="V23" s="257">
        <f t="shared" si="10"/>
        <v>0</v>
      </c>
    </row>
    <row r="24" spans="1:22" s="255" customFormat="1" ht="20.149999999999999" customHeight="1" outlineLevel="1" x14ac:dyDescent="0.55000000000000004">
      <c r="A24" s="261"/>
      <c r="B24" s="545" t="s">
        <v>26</v>
      </c>
      <c r="C24" s="23">
        <v>86383</v>
      </c>
      <c r="D24" s="23">
        <v>3383798</v>
      </c>
      <c r="E24" s="11">
        <f t="shared" si="5"/>
        <v>3470181</v>
      </c>
      <c r="F24" s="13">
        <v>8732</v>
      </c>
      <c r="G24" s="13">
        <v>0</v>
      </c>
      <c r="H24" s="13">
        <v>3461449</v>
      </c>
      <c r="I24" s="561">
        <v>359432</v>
      </c>
      <c r="J24" s="13">
        <v>15179120</v>
      </c>
      <c r="K24" s="11">
        <f t="shared" si="6"/>
        <v>15538552</v>
      </c>
      <c r="L24" s="23">
        <v>14248</v>
      </c>
      <c r="M24" s="23">
        <v>0</v>
      </c>
      <c r="N24" s="23">
        <v>15524305</v>
      </c>
      <c r="O24" s="271">
        <v>0</v>
      </c>
      <c r="P24" s="23">
        <f t="shared" si="8"/>
        <v>445815</v>
      </c>
      <c r="Q24" s="11">
        <f t="shared" si="9"/>
        <v>18562918</v>
      </c>
      <c r="R24" s="11">
        <f t="shared" si="7"/>
        <v>19008733</v>
      </c>
      <c r="S24" s="11">
        <f t="shared" si="2"/>
        <v>22980</v>
      </c>
      <c r="T24" s="11">
        <f t="shared" si="3"/>
        <v>0</v>
      </c>
      <c r="U24" s="11">
        <f t="shared" si="4"/>
        <v>18985754</v>
      </c>
      <c r="V24" s="257">
        <f t="shared" si="10"/>
        <v>0</v>
      </c>
    </row>
    <row r="25" spans="1:22" s="255" customFormat="1" ht="20.149999999999999" customHeight="1" outlineLevel="1" x14ac:dyDescent="0.55000000000000004">
      <c r="A25" s="261"/>
      <c r="B25" s="546" t="s">
        <v>27</v>
      </c>
      <c r="C25" s="258">
        <v>0</v>
      </c>
      <c r="D25" s="259">
        <v>0</v>
      </c>
      <c r="E25" s="259">
        <f t="shared" si="5"/>
        <v>0</v>
      </c>
      <c r="F25" s="259">
        <v>0</v>
      </c>
      <c r="G25" s="259">
        <v>0</v>
      </c>
      <c r="H25" s="260">
        <v>0</v>
      </c>
      <c r="I25" s="562">
        <v>0</v>
      </c>
      <c r="J25" s="259">
        <v>0</v>
      </c>
      <c r="K25" s="259">
        <f t="shared" si="6"/>
        <v>0</v>
      </c>
      <c r="L25" s="272">
        <v>0</v>
      </c>
      <c r="M25" s="272">
        <v>0</v>
      </c>
      <c r="N25" s="272">
        <v>0</v>
      </c>
      <c r="O25" s="266">
        <v>1875960</v>
      </c>
      <c r="P25" s="537">
        <f t="shared" si="8"/>
        <v>0</v>
      </c>
      <c r="Q25" s="259">
        <f t="shared" si="9"/>
        <v>0</v>
      </c>
      <c r="R25" s="259">
        <f t="shared" si="7"/>
        <v>0</v>
      </c>
      <c r="S25" s="259">
        <f t="shared" si="2"/>
        <v>0</v>
      </c>
      <c r="T25" s="259">
        <f t="shared" si="3"/>
        <v>0</v>
      </c>
      <c r="U25" s="259">
        <f t="shared" si="4"/>
        <v>0</v>
      </c>
      <c r="V25" s="266">
        <f t="shared" si="10"/>
        <v>1875960</v>
      </c>
    </row>
    <row r="26" spans="1:22" s="22" customFormat="1" ht="20.149999999999999" customHeight="1" x14ac:dyDescent="0.55000000000000004">
      <c r="A26" s="21"/>
      <c r="B26" s="538" t="s">
        <v>1078</v>
      </c>
      <c r="C26" s="11">
        <f>SUM(C28:C37)</f>
        <v>599647</v>
      </c>
      <c r="D26" s="11">
        <f t="shared" ref="D26:V26" si="11">SUM(D28:D37)</f>
        <v>25357171</v>
      </c>
      <c r="E26" s="11">
        <f t="shared" si="11"/>
        <v>25956818</v>
      </c>
      <c r="F26" s="11">
        <f t="shared" si="11"/>
        <v>67666</v>
      </c>
      <c r="G26" s="11">
        <f t="shared" si="11"/>
        <v>0</v>
      </c>
      <c r="H26" s="11">
        <f t="shared" si="11"/>
        <v>25889151</v>
      </c>
      <c r="I26" s="12">
        <f t="shared" si="11"/>
        <v>1978375</v>
      </c>
      <c r="J26" s="11">
        <f t="shared" si="11"/>
        <v>99037999</v>
      </c>
      <c r="K26" s="13">
        <f t="shared" si="11"/>
        <v>101016374</v>
      </c>
      <c r="L26" s="11">
        <f t="shared" si="11"/>
        <v>83639</v>
      </c>
      <c r="M26" s="11">
        <f t="shared" si="11"/>
        <v>0</v>
      </c>
      <c r="N26" s="11">
        <f t="shared" si="11"/>
        <v>100932738</v>
      </c>
      <c r="O26" s="256">
        <f t="shared" si="11"/>
        <v>950206</v>
      </c>
      <c r="P26" s="11">
        <f>SUM(P28:P37)</f>
        <v>2578022</v>
      </c>
      <c r="Q26" s="11">
        <f t="shared" si="11"/>
        <v>124395170</v>
      </c>
      <c r="R26" s="13">
        <f t="shared" si="11"/>
        <v>126973192</v>
      </c>
      <c r="S26" s="13">
        <f t="shared" si="11"/>
        <v>151305</v>
      </c>
      <c r="T26" s="11">
        <f t="shared" si="11"/>
        <v>0</v>
      </c>
      <c r="U26" s="11">
        <f t="shared" si="11"/>
        <v>126821889</v>
      </c>
      <c r="V26" s="257">
        <f t="shared" si="11"/>
        <v>950206</v>
      </c>
    </row>
    <row r="27" spans="1:22" s="22" customFormat="1" ht="20.149999999999999" customHeight="1" x14ac:dyDescent="0.55000000000000004">
      <c r="A27" s="547"/>
      <c r="B27" s="551" t="s">
        <v>1101</v>
      </c>
      <c r="C27" s="11"/>
      <c r="D27" s="11"/>
      <c r="E27" s="11"/>
      <c r="F27" s="11"/>
      <c r="G27" s="11"/>
      <c r="H27" s="11"/>
      <c r="I27" s="12"/>
      <c r="J27" s="11"/>
      <c r="K27" s="11"/>
      <c r="L27" s="11"/>
      <c r="M27" s="11"/>
      <c r="N27" s="11"/>
      <c r="O27" s="256"/>
      <c r="P27" s="11"/>
      <c r="Q27" s="11"/>
      <c r="R27" s="11"/>
      <c r="S27" s="11"/>
      <c r="T27" s="11"/>
      <c r="U27" s="11"/>
      <c r="V27" s="256"/>
    </row>
    <row r="28" spans="1:22" s="255" customFormat="1" ht="20.149999999999999" customHeight="1" outlineLevel="1" x14ac:dyDescent="0.55000000000000004">
      <c r="A28" s="34"/>
      <c r="B28" s="544" t="s">
        <v>18</v>
      </c>
      <c r="C28" s="269">
        <v>87750</v>
      </c>
      <c r="D28" s="269">
        <v>5653943</v>
      </c>
      <c r="E28" s="11">
        <f>C28+D28</f>
        <v>5741693</v>
      </c>
      <c r="F28" s="11">
        <v>8671</v>
      </c>
      <c r="G28" s="11">
        <v>0</v>
      </c>
      <c r="H28" s="11">
        <v>5733022</v>
      </c>
      <c r="I28" s="560">
        <v>326092</v>
      </c>
      <c r="J28" s="11">
        <v>18702447</v>
      </c>
      <c r="K28" s="11">
        <f>I28+J28</f>
        <v>19028539</v>
      </c>
      <c r="L28" s="269">
        <v>10650</v>
      </c>
      <c r="M28" s="269">
        <v>0</v>
      </c>
      <c r="N28" s="269">
        <v>19017890</v>
      </c>
      <c r="O28" s="270">
        <v>0</v>
      </c>
      <c r="P28" s="269">
        <f>C28+I28</f>
        <v>413842</v>
      </c>
      <c r="Q28" s="11">
        <f>D28+J28</f>
        <v>24356390</v>
      </c>
      <c r="R28" s="11">
        <f>P28+Q28</f>
        <v>24770232</v>
      </c>
      <c r="S28" s="11">
        <f t="shared" ref="S28:S37" si="12">F28+L28</f>
        <v>19321</v>
      </c>
      <c r="T28" s="11">
        <f t="shared" ref="T28:T37" si="13">G28+M28</f>
        <v>0</v>
      </c>
      <c r="U28" s="11">
        <f t="shared" ref="U28:U37" si="14">H28+N28</f>
        <v>24750912</v>
      </c>
      <c r="V28" s="256">
        <f>O28</f>
        <v>0</v>
      </c>
    </row>
    <row r="29" spans="1:22" s="255" customFormat="1" ht="20.149999999999999" customHeight="1" outlineLevel="1" x14ac:dyDescent="0.55000000000000004">
      <c r="B29" s="545" t="s">
        <v>19</v>
      </c>
      <c r="C29" s="23">
        <v>55549</v>
      </c>
      <c r="D29" s="23">
        <v>2377760</v>
      </c>
      <c r="E29" s="11">
        <f t="shared" ref="E29:E37" si="15">C29+D29</f>
        <v>2433309</v>
      </c>
      <c r="F29" s="13">
        <v>6241</v>
      </c>
      <c r="G29" s="13">
        <v>0</v>
      </c>
      <c r="H29" s="13">
        <v>2427069</v>
      </c>
      <c r="I29" s="561">
        <v>197871</v>
      </c>
      <c r="J29" s="13">
        <v>9564664</v>
      </c>
      <c r="K29" s="11">
        <f t="shared" ref="K29:K37" si="16">I29+J29</f>
        <v>9762535</v>
      </c>
      <c r="L29" s="23">
        <v>6803</v>
      </c>
      <c r="M29" s="23">
        <v>0</v>
      </c>
      <c r="N29" s="23">
        <v>9755732</v>
      </c>
      <c r="O29" s="271">
        <v>0</v>
      </c>
      <c r="P29" s="23">
        <f>C29+I29</f>
        <v>253420</v>
      </c>
      <c r="Q29" s="11">
        <f>D29+J29</f>
        <v>11942424</v>
      </c>
      <c r="R29" s="11">
        <f t="shared" ref="R29:R37" si="17">P29+Q29</f>
        <v>12195844</v>
      </c>
      <c r="S29" s="11">
        <f t="shared" si="12"/>
        <v>13044</v>
      </c>
      <c r="T29" s="11">
        <f t="shared" si="13"/>
        <v>0</v>
      </c>
      <c r="U29" s="11">
        <f t="shared" si="14"/>
        <v>12182801</v>
      </c>
      <c r="V29" s="257">
        <f>O29</f>
        <v>0</v>
      </c>
    </row>
    <row r="30" spans="1:22" s="255" customFormat="1" ht="20.149999999999999" customHeight="1" outlineLevel="1" x14ac:dyDescent="0.55000000000000004">
      <c r="A30" s="261"/>
      <c r="B30" s="545" t="s">
        <v>20</v>
      </c>
      <c r="C30" s="23">
        <v>78178</v>
      </c>
      <c r="D30" s="23">
        <v>4118131</v>
      </c>
      <c r="E30" s="11">
        <f t="shared" si="15"/>
        <v>4196309</v>
      </c>
      <c r="F30" s="13">
        <v>11287</v>
      </c>
      <c r="G30" s="13">
        <v>0</v>
      </c>
      <c r="H30" s="13">
        <v>4185022</v>
      </c>
      <c r="I30" s="561">
        <v>212955</v>
      </c>
      <c r="J30" s="13">
        <v>11233226</v>
      </c>
      <c r="K30" s="11">
        <f t="shared" si="16"/>
        <v>11446181</v>
      </c>
      <c r="L30" s="23">
        <v>5933</v>
      </c>
      <c r="M30" s="23">
        <v>0</v>
      </c>
      <c r="N30" s="23">
        <v>11440248</v>
      </c>
      <c r="O30" s="271">
        <v>0</v>
      </c>
      <c r="P30" s="23">
        <f t="shared" ref="P30:P37" si="18">C30+I30</f>
        <v>291133</v>
      </c>
      <c r="Q30" s="11">
        <f t="shared" ref="Q30:Q37" si="19">D30+J30</f>
        <v>15351357</v>
      </c>
      <c r="R30" s="11">
        <f t="shared" si="17"/>
        <v>15642490</v>
      </c>
      <c r="S30" s="11">
        <f t="shared" si="12"/>
        <v>17220</v>
      </c>
      <c r="T30" s="11">
        <f t="shared" si="13"/>
        <v>0</v>
      </c>
      <c r="U30" s="11">
        <f t="shared" si="14"/>
        <v>15625270</v>
      </c>
      <c r="V30" s="257">
        <f>O30</f>
        <v>0</v>
      </c>
    </row>
    <row r="31" spans="1:22" s="255" customFormat="1" ht="20.149999999999999" customHeight="1" outlineLevel="1" x14ac:dyDescent="0.55000000000000004">
      <c r="A31" s="261"/>
      <c r="B31" s="545" t="s">
        <v>21</v>
      </c>
      <c r="C31" s="23">
        <v>48501</v>
      </c>
      <c r="D31" s="23">
        <v>1510165</v>
      </c>
      <c r="E31" s="11">
        <f t="shared" si="15"/>
        <v>1558666</v>
      </c>
      <c r="F31" s="13">
        <v>5308</v>
      </c>
      <c r="G31" s="13">
        <v>0</v>
      </c>
      <c r="H31" s="13">
        <v>1553358</v>
      </c>
      <c r="I31" s="561">
        <v>155154</v>
      </c>
      <c r="J31" s="13">
        <v>5810104</v>
      </c>
      <c r="K31" s="11">
        <f t="shared" si="16"/>
        <v>5965258</v>
      </c>
      <c r="L31" s="23">
        <v>5433</v>
      </c>
      <c r="M31" s="23">
        <v>0</v>
      </c>
      <c r="N31" s="23">
        <v>5959825</v>
      </c>
      <c r="O31" s="271">
        <v>0</v>
      </c>
      <c r="P31" s="23">
        <f t="shared" si="18"/>
        <v>203655</v>
      </c>
      <c r="Q31" s="11">
        <f t="shared" si="19"/>
        <v>7320269</v>
      </c>
      <c r="R31" s="11">
        <f t="shared" si="17"/>
        <v>7523924</v>
      </c>
      <c r="S31" s="11">
        <f t="shared" si="12"/>
        <v>10741</v>
      </c>
      <c r="T31" s="11">
        <f t="shared" si="13"/>
        <v>0</v>
      </c>
      <c r="U31" s="11">
        <f t="shared" si="14"/>
        <v>7513183</v>
      </c>
      <c r="V31" s="257">
        <f t="shared" ref="V31:V37" si="20">O31</f>
        <v>0</v>
      </c>
    </row>
    <row r="32" spans="1:22" s="255" customFormat="1" ht="20.149999999999999" customHeight="1" outlineLevel="1" x14ac:dyDescent="0.55000000000000004">
      <c r="A32" s="261"/>
      <c r="B32" s="545" t="s">
        <v>22</v>
      </c>
      <c r="C32" s="23">
        <v>38997</v>
      </c>
      <c r="D32" s="23">
        <v>1215003</v>
      </c>
      <c r="E32" s="11">
        <f t="shared" si="15"/>
        <v>1254000</v>
      </c>
      <c r="F32" s="13">
        <v>4818</v>
      </c>
      <c r="G32" s="13">
        <v>0</v>
      </c>
      <c r="H32" s="13">
        <v>1249181</v>
      </c>
      <c r="I32" s="561">
        <v>124524</v>
      </c>
      <c r="J32" s="13">
        <v>4279770</v>
      </c>
      <c r="K32" s="11">
        <f t="shared" si="16"/>
        <v>4404294</v>
      </c>
      <c r="L32" s="23">
        <v>5261</v>
      </c>
      <c r="M32" s="23">
        <v>0</v>
      </c>
      <c r="N32" s="23">
        <v>4399034</v>
      </c>
      <c r="O32" s="271">
        <v>0</v>
      </c>
      <c r="P32" s="23">
        <f t="shared" si="18"/>
        <v>163521</v>
      </c>
      <c r="Q32" s="11">
        <f t="shared" si="19"/>
        <v>5494773</v>
      </c>
      <c r="R32" s="11">
        <f t="shared" si="17"/>
        <v>5658294</v>
      </c>
      <c r="S32" s="11">
        <f t="shared" si="12"/>
        <v>10079</v>
      </c>
      <c r="T32" s="11">
        <f t="shared" si="13"/>
        <v>0</v>
      </c>
      <c r="U32" s="11">
        <f t="shared" si="14"/>
        <v>5648215</v>
      </c>
      <c r="V32" s="257">
        <f t="shared" si="20"/>
        <v>0</v>
      </c>
    </row>
    <row r="33" spans="1:22" s="255" customFormat="1" ht="20.149999999999999" customHeight="1" outlineLevel="1" x14ac:dyDescent="0.55000000000000004">
      <c r="A33" s="261"/>
      <c r="B33" s="545" t="s">
        <v>23</v>
      </c>
      <c r="C33" s="23">
        <v>57858</v>
      </c>
      <c r="D33" s="23">
        <v>2105081</v>
      </c>
      <c r="E33" s="11">
        <f t="shared" si="15"/>
        <v>2162939</v>
      </c>
      <c r="F33" s="13">
        <v>6294</v>
      </c>
      <c r="G33" s="13">
        <v>0</v>
      </c>
      <c r="H33" s="13">
        <v>2156644</v>
      </c>
      <c r="I33" s="561">
        <v>230740</v>
      </c>
      <c r="J33" s="13">
        <v>9279673</v>
      </c>
      <c r="K33" s="11">
        <f t="shared" si="16"/>
        <v>9510413</v>
      </c>
      <c r="L33" s="23">
        <v>9466</v>
      </c>
      <c r="M33" s="23">
        <v>0</v>
      </c>
      <c r="N33" s="23">
        <v>9500948</v>
      </c>
      <c r="O33" s="271">
        <v>0</v>
      </c>
      <c r="P33" s="23">
        <f t="shared" si="18"/>
        <v>288598</v>
      </c>
      <c r="Q33" s="11">
        <f t="shared" si="19"/>
        <v>11384754</v>
      </c>
      <c r="R33" s="11">
        <f t="shared" si="17"/>
        <v>11673352</v>
      </c>
      <c r="S33" s="11">
        <f t="shared" si="12"/>
        <v>15760</v>
      </c>
      <c r="T33" s="11">
        <f t="shared" si="13"/>
        <v>0</v>
      </c>
      <c r="U33" s="11">
        <f t="shared" si="14"/>
        <v>11657592</v>
      </c>
      <c r="V33" s="257">
        <f t="shared" si="20"/>
        <v>0</v>
      </c>
    </row>
    <row r="34" spans="1:22" s="255" customFormat="1" ht="20.149999999999999" customHeight="1" outlineLevel="1" x14ac:dyDescent="0.55000000000000004">
      <c r="A34" s="261"/>
      <c r="B34" s="545" t="s">
        <v>24</v>
      </c>
      <c r="C34" s="23">
        <v>73664</v>
      </c>
      <c r="D34" s="23">
        <v>2693033</v>
      </c>
      <c r="E34" s="11">
        <f t="shared" si="15"/>
        <v>2766697</v>
      </c>
      <c r="F34" s="13">
        <v>7924</v>
      </c>
      <c r="G34" s="13">
        <v>0</v>
      </c>
      <c r="H34" s="13">
        <v>2758773</v>
      </c>
      <c r="I34" s="561">
        <v>310700</v>
      </c>
      <c r="J34" s="13">
        <v>12857653</v>
      </c>
      <c r="K34" s="11">
        <f t="shared" si="16"/>
        <v>13168353</v>
      </c>
      <c r="L34" s="23">
        <v>12707</v>
      </c>
      <c r="M34" s="23">
        <v>0</v>
      </c>
      <c r="N34" s="23">
        <v>13155647</v>
      </c>
      <c r="O34" s="271">
        <v>0</v>
      </c>
      <c r="P34" s="23">
        <f t="shared" si="18"/>
        <v>384364</v>
      </c>
      <c r="Q34" s="11">
        <f t="shared" si="19"/>
        <v>15550686</v>
      </c>
      <c r="R34" s="11">
        <f t="shared" si="17"/>
        <v>15935050</v>
      </c>
      <c r="S34" s="11">
        <f t="shared" si="12"/>
        <v>20631</v>
      </c>
      <c r="T34" s="11">
        <f t="shared" si="13"/>
        <v>0</v>
      </c>
      <c r="U34" s="11">
        <f t="shared" si="14"/>
        <v>15914420</v>
      </c>
      <c r="V34" s="257">
        <f t="shared" si="20"/>
        <v>0</v>
      </c>
    </row>
    <row r="35" spans="1:22" s="255" customFormat="1" ht="20.149999999999999" customHeight="1" outlineLevel="1" x14ac:dyDescent="0.55000000000000004">
      <c r="A35" s="261"/>
      <c r="B35" s="545" t="s">
        <v>25</v>
      </c>
      <c r="C35" s="23">
        <v>74296</v>
      </c>
      <c r="D35" s="23">
        <v>2513323</v>
      </c>
      <c r="E35" s="11">
        <f t="shared" si="15"/>
        <v>2587619</v>
      </c>
      <c r="F35" s="13">
        <v>8216</v>
      </c>
      <c r="G35" s="13">
        <v>0</v>
      </c>
      <c r="H35" s="13">
        <v>2579403</v>
      </c>
      <c r="I35" s="561">
        <v>319188</v>
      </c>
      <c r="J35" s="13">
        <v>12244663</v>
      </c>
      <c r="K35" s="11">
        <f t="shared" si="16"/>
        <v>12563851</v>
      </c>
      <c r="L35" s="23">
        <v>13438</v>
      </c>
      <c r="M35" s="23">
        <v>0</v>
      </c>
      <c r="N35" s="23">
        <v>12550413</v>
      </c>
      <c r="O35" s="271">
        <v>0</v>
      </c>
      <c r="P35" s="23">
        <f t="shared" si="18"/>
        <v>393484</v>
      </c>
      <c r="Q35" s="11">
        <f t="shared" si="19"/>
        <v>14757986</v>
      </c>
      <c r="R35" s="11">
        <f t="shared" si="17"/>
        <v>15151470</v>
      </c>
      <c r="S35" s="11">
        <f t="shared" si="12"/>
        <v>21654</v>
      </c>
      <c r="T35" s="11">
        <f t="shared" si="13"/>
        <v>0</v>
      </c>
      <c r="U35" s="11">
        <f t="shared" si="14"/>
        <v>15129816</v>
      </c>
      <c r="V35" s="257">
        <f t="shared" si="20"/>
        <v>0</v>
      </c>
    </row>
    <row r="36" spans="1:22" s="255" customFormat="1" ht="20.149999999999999" customHeight="1" outlineLevel="1" x14ac:dyDescent="0.55000000000000004">
      <c r="A36" s="261"/>
      <c r="B36" s="545" t="s">
        <v>26</v>
      </c>
      <c r="C36" s="23">
        <v>84854</v>
      </c>
      <c r="D36" s="23">
        <v>3170732</v>
      </c>
      <c r="E36" s="11">
        <f t="shared" si="15"/>
        <v>3255586</v>
      </c>
      <c r="F36" s="13">
        <v>8907</v>
      </c>
      <c r="G36" s="13">
        <v>0</v>
      </c>
      <c r="H36" s="13">
        <v>3246679</v>
      </c>
      <c r="I36" s="561">
        <v>101151</v>
      </c>
      <c r="J36" s="13">
        <v>15065799</v>
      </c>
      <c r="K36" s="11">
        <f t="shared" si="16"/>
        <v>15166950</v>
      </c>
      <c r="L36" s="23">
        <v>13948</v>
      </c>
      <c r="M36" s="23">
        <v>0</v>
      </c>
      <c r="N36" s="23">
        <v>15153001</v>
      </c>
      <c r="O36" s="271">
        <v>0</v>
      </c>
      <c r="P36" s="23">
        <f t="shared" si="18"/>
        <v>186005</v>
      </c>
      <c r="Q36" s="11">
        <f t="shared" si="19"/>
        <v>18236531</v>
      </c>
      <c r="R36" s="11">
        <f t="shared" si="17"/>
        <v>18422536</v>
      </c>
      <c r="S36" s="11">
        <f t="shared" si="12"/>
        <v>22855</v>
      </c>
      <c r="T36" s="11">
        <f t="shared" si="13"/>
        <v>0</v>
      </c>
      <c r="U36" s="11">
        <f t="shared" si="14"/>
        <v>18399680</v>
      </c>
      <c r="V36" s="257">
        <f t="shared" si="20"/>
        <v>0</v>
      </c>
    </row>
    <row r="37" spans="1:22" s="255" customFormat="1" ht="20.149999999999999" customHeight="1" outlineLevel="1" x14ac:dyDescent="0.55000000000000004">
      <c r="A37" s="261"/>
      <c r="B37" s="546" t="s">
        <v>27</v>
      </c>
      <c r="C37" s="258">
        <v>0</v>
      </c>
      <c r="D37" s="259">
        <v>0</v>
      </c>
      <c r="E37" s="259">
        <f t="shared" si="15"/>
        <v>0</v>
      </c>
      <c r="F37" s="259">
        <v>0</v>
      </c>
      <c r="G37" s="259">
        <v>0</v>
      </c>
      <c r="H37" s="260">
        <v>0</v>
      </c>
      <c r="I37" s="562">
        <v>0</v>
      </c>
      <c r="J37" s="259">
        <v>0</v>
      </c>
      <c r="K37" s="259">
        <f t="shared" si="16"/>
        <v>0</v>
      </c>
      <c r="L37" s="272">
        <v>0</v>
      </c>
      <c r="M37" s="272">
        <v>0</v>
      </c>
      <c r="N37" s="272">
        <v>0</v>
      </c>
      <c r="O37" s="266">
        <v>950206</v>
      </c>
      <c r="P37" s="537">
        <f t="shared" si="18"/>
        <v>0</v>
      </c>
      <c r="Q37" s="259">
        <f t="shared" si="19"/>
        <v>0</v>
      </c>
      <c r="R37" s="259">
        <f t="shared" si="17"/>
        <v>0</v>
      </c>
      <c r="S37" s="259">
        <f t="shared" si="12"/>
        <v>0</v>
      </c>
      <c r="T37" s="259">
        <f t="shared" si="13"/>
        <v>0</v>
      </c>
      <c r="U37" s="259">
        <f t="shared" si="14"/>
        <v>0</v>
      </c>
      <c r="V37" s="266">
        <f t="shared" si="20"/>
        <v>950206</v>
      </c>
    </row>
    <row r="38" spans="1:22" s="22" customFormat="1" ht="20.149999999999999" customHeight="1" x14ac:dyDescent="0.55000000000000004">
      <c r="A38" s="21"/>
      <c r="B38" s="538" t="s">
        <v>38</v>
      </c>
      <c r="C38" s="11">
        <f>SUM(C40:C49)</f>
        <v>584625</v>
      </c>
      <c r="D38" s="11">
        <f t="shared" ref="D38:V38" si="21">SUM(D40:D49)</f>
        <v>23889006</v>
      </c>
      <c r="E38" s="11">
        <f t="shared" si="21"/>
        <v>24473631</v>
      </c>
      <c r="F38" s="11">
        <f t="shared" si="21"/>
        <v>68910</v>
      </c>
      <c r="G38" s="11">
        <f t="shared" si="21"/>
        <v>0</v>
      </c>
      <c r="H38" s="11">
        <f t="shared" si="21"/>
        <v>24404721</v>
      </c>
      <c r="I38" s="12">
        <f t="shared" si="21"/>
        <v>2231309</v>
      </c>
      <c r="J38" s="11">
        <f t="shared" si="21"/>
        <v>98266806</v>
      </c>
      <c r="K38" s="13">
        <f t="shared" si="21"/>
        <v>100498115</v>
      </c>
      <c r="L38" s="11">
        <f t="shared" si="21"/>
        <v>82499</v>
      </c>
      <c r="M38" s="11">
        <f t="shared" si="21"/>
        <v>0</v>
      </c>
      <c r="N38" s="11">
        <f t="shared" si="21"/>
        <v>100415616</v>
      </c>
      <c r="O38" s="256">
        <f t="shared" si="21"/>
        <v>1087297</v>
      </c>
      <c r="P38" s="11">
        <f t="shared" si="21"/>
        <v>2815934</v>
      </c>
      <c r="Q38" s="11">
        <f t="shared" si="21"/>
        <v>122155812</v>
      </c>
      <c r="R38" s="13">
        <f t="shared" si="21"/>
        <v>124971746</v>
      </c>
      <c r="S38" s="13">
        <f t="shared" si="21"/>
        <v>151409</v>
      </c>
      <c r="T38" s="13">
        <f t="shared" si="21"/>
        <v>0</v>
      </c>
      <c r="U38" s="13">
        <f t="shared" si="21"/>
        <v>124820337</v>
      </c>
      <c r="V38" s="257">
        <f t="shared" si="21"/>
        <v>1087297</v>
      </c>
    </row>
    <row r="39" spans="1:22" s="22" customFormat="1" ht="20.149999999999999" customHeight="1" x14ac:dyDescent="0.55000000000000004">
      <c r="A39" s="547"/>
      <c r="B39" s="551" t="s">
        <v>1101</v>
      </c>
      <c r="C39" s="11"/>
      <c r="D39" s="11"/>
      <c r="E39" s="11"/>
      <c r="F39" s="11"/>
      <c r="G39" s="11"/>
      <c r="H39" s="11"/>
      <c r="I39" s="12"/>
      <c r="J39" s="11"/>
      <c r="K39" s="13"/>
      <c r="L39" s="11"/>
      <c r="M39" s="11"/>
      <c r="N39" s="11"/>
      <c r="O39" s="256"/>
      <c r="P39" s="11"/>
      <c r="Q39" s="11"/>
      <c r="R39" s="608"/>
      <c r="S39" s="25"/>
      <c r="T39" s="25"/>
      <c r="U39" s="13"/>
      <c r="V39" s="257"/>
    </row>
    <row r="40" spans="1:22" s="255" customFormat="1" ht="20.149999999999999" hidden="1" customHeight="1" outlineLevel="1" x14ac:dyDescent="0.55000000000000004">
      <c r="A40" s="34"/>
      <c r="B40" s="544" t="s">
        <v>18</v>
      </c>
      <c r="C40" s="269">
        <v>85784</v>
      </c>
      <c r="D40" s="269">
        <v>5508108</v>
      </c>
      <c r="E40" s="11">
        <f>C40+D40</f>
        <v>5593892</v>
      </c>
      <c r="F40" s="11">
        <v>8708</v>
      </c>
      <c r="G40" s="11">
        <v>0</v>
      </c>
      <c r="H40" s="11">
        <v>5585183</v>
      </c>
      <c r="I40" s="560">
        <v>49933</v>
      </c>
      <c r="J40" s="11">
        <v>721530</v>
      </c>
      <c r="K40" s="11">
        <f>I40+J40</f>
        <v>771463</v>
      </c>
      <c r="L40" s="269">
        <v>5962</v>
      </c>
      <c r="M40" s="269">
        <v>0</v>
      </c>
      <c r="N40" s="269">
        <v>765500</v>
      </c>
      <c r="O40" s="270">
        <v>0</v>
      </c>
      <c r="P40" s="269">
        <f>C40+I40</f>
        <v>135717</v>
      </c>
      <c r="Q40" s="11">
        <f>D40+J40</f>
        <v>6229638</v>
      </c>
      <c r="R40" s="11">
        <f>P40+Q40</f>
        <v>6365355</v>
      </c>
      <c r="S40" s="11">
        <f t="shared" ref="S40:U41" si="22">F40+L40</f>
        <v>14670</v>
      </c>
      <c r="T40" s="11">
        <f t="shared" si="22"/>
        <v>0</v>
      </c>
      <c r="U40" s="11">
        <f t="shared" si="22"/>
        <v>6350683</v>
      </c>
      <c r="V40" s="256">
        <f>O40</f>
        <v>0</v>
      </c>
    </row>
    <row r="41" spans="1:22" s="255" customFormat="1" ht="20.149999999999999" hidden="1" customHeight="1" outlineLevel="1" x14ac:dyDescent="0.55000000000000004">
      <c r="B41" s="545" t="s">
        <v>19</v>
      </c>
      <c r="C41" s="23">
        <v>54362</v>
      </c>
      <c r="D41" s="23">
        <v>2361366</v>
      </c>
      <c r="E41" s="11">
        <f t="shared" ref="E41:E49" si="23">C41+D41</f>
        <v>2415728</v>
      </c>
      <c r="F41" s="13">
        <v>6435</v>
      </c>
      <c r="G41" s="13">
        <v>0</v>
      </c>
      <c r="H41" s="13">
        <v>2409293</v>
      </c>
      <c r="I41" s="561">
        <v>28429</v>
      </c>
      <c r="J41" s="13">
        <v>364890</v>
      </c>
      <c r="K41" s="11">
        <f t="shared" ref="K41:K49" si="24">I41+J41</f>
        <v>393319</v>
      </c>
      <c r="L41" s="23">
        <v>3622</v>
      </c>
      <c r="M41" s="23">
        <v>0</v>
      </c>
      <c r="N41" s="23">
        <v>389697</v>
      </c>
      <c r="O41" s="271">
        <v>0</v>
      </c>
      <c r="P41" s="23">
        <f>C41+I41</f>
        <v>82791</v>
      </c>
      <c r="Q41" s="11">
        <f>D41+J41</f>
        <v>2726256</v>
      </c>
      <c r="R41" s="11">
        <f t="shared" ref="R41:R49" si="25">P41+Q41</f>
        <v>2809047</v>
      </c>
      <c r="S41" s="11">
        <f t="shared" si="22"/>
        <v>10057</v>
      </c>
      <c r="T41" s="11">
        <f t="shared" si="22"/>
        <v>0</v>
      </c>
      <c r="U41" s="11">
        <f t="shared" si="22"/>
        <v>2798990</v>
      </c>
      <c r="V41" s="257">
        <f>O41</f>
        <v>0</v>
      </c>
    </row>
    <row r="42" spans="1:22" s="255" customFormat="1" ht="20.149999999999999" hidden="1" customHeight="1" outlineLevel="1" x14ac:dyDescent="0.55000000000000004">
      <c r="A42" s="261"/>
      <c r="B42" s="545" t="s">
        <v>20</v>
      </c>
      <c r="C42" s="23">
        <v>73005</v>
      </c>
      <c r="D42" s="23">
        <v>3751915</v>
      </c>
      <c r="E42" s="11">
        <f t="shared" si="23"/>
        <v>3824920</v>
      </c>
      <c r="F42" s="13">
        <v>11311</v>
      </c>
      <c r="G42" s="13">
        <v>0</v>
      </c>
      <c r="H42" s="13">
        <v>3813609</v>
      </c>
      <c r="I42" s="561">
        <v>22742</v>
      </c>
      <c r="J42" s="13">
        <v>299197</v>
      </c>
      <c r="K42" s="11">
        <f t="shared" si="24"/>
        <v>321939</v>
      </c>
      <c r="L42" s="23">
        <v>2921</v>
      </c>
      <c r="M42" s="23">
        <v>0</v>
      </c>
      <c r="N42" s="23">
        <v>319018</v>
      </c>
      <c r="O42" s="271">
        <v>0</v>
      </c>
      <c r="P42" s="23">
        <f t="shared" ref="P42:U49" si="26">C42+I42</f>
        <v>95747</v>
      </c>
      <c r="Q42" s="11">
        <f t="shared" si="26"/>
        <v>4051112</v>
      </c>
      <c r="R42" s="11">
        <f t="shared" si="25"/>
        <v>4146859</v>
      </c>
      <c r="S42" s="11">
        <f t="shared" si="26"/>
        <v>14232</v>
      </c>
      <c r="T42" s="11">
        <f t="shared" si="26"/>
        <v>0</v>
      </c>
      <c r="U42" s="11">
        <f t="shared" si="26"/>
        <v>4132627</v>
      </c>
      <c r="V42" s="257">
        <f>O42</f>
        <v>0</v>
      </c>
    </row>
    <row r="43" spans="1:22" s="255" customFormat="1" ht="20.149999999999999" hidden="1" customHeight="1" outlineLevel="1" x14ac:dyDescent="0.55000000000000004">
      <c r="A43" s="261"/>
      <c r="B43" s="545" t="s">
        <v>21</v>
      </c>
      <c r="C43" s="23">
        <v>45113</v>
      </c>
      <c r="D43" s="23">
        <v>1106026</v>
      </c>
      <c r="E43" s="11">
        <f t="shared" si="23"/>
        <v>1151139</v>
      </c>
      <c r="F43" s="13">
        <v>5145</v>
      </c>
      <c r="G43" s="13">
        <v>0</v>
      </c>
      <c r="H43" s="13">
        <v>1145995</v>
      </c>
      <c r="I43" s="561">
        <v>20050</v>
      </c>
      <c r="J43" s="13">
        <v>210595</v>
      </c>
      <c r="K43" s="11">
        <f t="shared" si="24"/>
        <v>230645</v>
      </c>
      <c r="L43" s="23">
        <v>2975</v>
      </c>
      <c r="M43" s="23">
        <v>0</v>
      </c>
      <c r="N43" s="23">
        <v>227670</v>
      </c>
      <c r="O43" s="271">
        <v>0</v>
      </c>
      <c r="P43" s="23">
        <f t="shared" si="26"/>
        <v>65163</v>
      </c>
      <c r="Q43" s="11">
        <f t="shared" si="26"/>
        <v>1316621</v>
      </c>
      <c r="R43" s="11">
        <f t="shared" si="25"/>
        <v>1381784</v>
      </c>
      <c r="S43" s="11">
        <f t="shared" si="26"/>
        <v>8120</v>
      </c>
      <c r="T43" s="11">
        <f t="shared" si="26"/>
        <v>0</v>
      </c>
      <c r="U43" s="11">
        <f t="shared" si="26"/>
        <v>1373665</v>
      </c>
      <c r="V43" s="257">
        <f t="shared" ref="V43:V49" si="27">O43</f>
        <v>0</v>
      </c>
    </row>
    <row r="44" spans="1:22" s="255" customFormat="1" ht="20.149999999999999" hidden="1" customHeight="1" outlineLevel="1" x14ac:dyDescent="0.55000000000000004">
      <c r="A44" s="261"/>
      <c r="B44" s="545" t="s">
        <v>22</v>
      </c>
      <c r="C44" s="23">
        <v>73606</v>
      </c>
      <c r="D44" s="23">
        <v>2483025</v>
      </c>
      <c r="E44" s="11">
        <f t="shared" si="23"/>
        <v>2556631</v>
      </c>
      <c r="F44" s="13">
        <v>8434</v>
      </c>
      <c r="G44" s="13">
        <v>0</v>
      </c>
      <c r="H44" s="13">
        <v>2548197</v>
      </c>
      <c r="I44" s="561">
        <v>68255</v>
      </c>
      <c r="J44" s="13">
        <v>878178</v>
      </c>
      <c r="K44" s="11">
        <f t="shared" si="24"/>
        <v>946433</v>
      </c>
      <c r="L44" s="23">
        <v>8376</v>
      </c>
      <c r="M44" s="23">
        <v>0</v>
      </c>
      <c r="N44" s="23">
        <v>938057</v>
      </c>
      <c r="O44" s="271">
        <v>0</v>
      </c>
      <c r="P44" s="23">
        <f t="shared" si="26"/>
        <v>141861</v>
      </c>
      <c r="Q44" s="11">
        <f t="shared" si="26"/>
        <v>3361203</v>
      </c>
      <c r="R44" s="11">
        <f t="shared" si="25"/>
        <v>3503064</v>
      </c>
      <c r="S44" s="11">
        <f t="shared" si="26"/>
        <v>16810</v>
      </c>
      <c r="T44" s="11">
        <f t="shared" si="26"/>
        <v>0</v>
      </c>
      <c r="U44" s="11">
        <f t="shared" si="26"/>
        <v>3486254</v>
      </c>
      <c r="V44" s="257">
        <f t="shared" si="27"/>
        <v>0</v>
      </c>
    </row>
    <row r="45" spans="1:22" s="255" customFormat="1" ht="20.149999999999999" hidden="1" customHeight="1" outlineLevel="1" x14ac:dyDescent="0.55000000000000004">
      <c r="A45" s="261"/>
      <c r="B45" s="545" t="s">
        <v>23</v>
      </c>
      <c r="C45" s="23">
        <v>37224</v>
      </c>
      <c r="D45" s="23">
        <v>867179</v>
      </c>
      <c r="E45" s="11">
        <f t="shared" si="23"/>
        <v>904403</v>
      </c>
      <c r="F45" s="13">
        <v>5081</v>
      </c>
      <c r="G45" s="13">
        <v>0</v>
      </c>
      <c r="H45" s="13">
        <v>899323</v>
      </c>
      <c r="I45" s="561">
        <v>20291</v>
      </c>
      <c r="J45" s="13">
        <v>223121</v>
      </c>
      <c r="K45" s="11">
        <f t="shared" si="24"/>
        <v>243412</v>
      </c>
      <c r="L45" s="23">
        <v>3038</v>
      </c>
      <c r="M45" s="23">
        <v>0</v>
      </c>
      <c r="N45" s="23">
        <v>240375</v>
      </c>
      <c r="O45" s="271">
        <v>0</v>
      </c>
      <c r="P45" s="23">
        <f t="shared" si="26"/>
        <v>57515</v>
      </c>
      <c r="Q45" s="11">
        <f t="shared" si="26"/>
        <v>1090300</v>
      </c>
      <c r="R45" s="11">
        <f t="shared" si="25"/>
        <v>1147815</v>
      </c>
      <c r="S45" s="11">
        <f t="shared" si="26"/>
        <v>8119</v>
      </c>
      <c r="T45" s="11">
        <f t="shared" si="26"/>
        <v>0</v>
      </c>
      <c r="U45" s="11">
        <f t="shared" si="26"/>
        <v>1139698</v>
      </c>
      <c r="V45" s="257">
        <f t="shared" si="27"/>
        <v>0</v>
      </c>
    </row>
    <row r="46" spans="1:22" s="255" customFormat="1" ht="20.149999999999999" hidden="1" customHeight="1" outlineLevel="1" x14ac:dyDescent="0.55000000000000004">
      <c r="A46" s="261"/>
      <c r="B46" s="545" t="s">
        <v>24</v>
      </c>
      <c r="C46" s="23">
        <v>56641</v>
      </c>
      <c r="D46" s="23">
        <v>1900075</v>
      </c>
      <c r="E46" s="11">
        <f t="shared" si="23"/>
        <v>1956716</v>
      </c>
      <c r="F46" s="13">
        <v>6529</v>
      </c>
      <c r="G46" s="13">
        <v>0</v>
      </c>
      <c r="H46" s="13">
        <v>1950186</v>
      </c>
      <c r="I46" s="561">
        <v>48828</v>
      </c>
      <c r="J46" s="13">
        <v>610075</v>
      </c>
      <c r="K46" s="11">
        <f t="shared" si="24"/>
        <v>658903</v>
      </c>
      <c r="L46" s="23">
        <v>5791</v>
      </c>
      <c r="M46" s="23">
        <v>0</v>
      </c>
      <c r="N46" s="23">
        <v>653113</v>
      </c>
      <c r="O46" s="271">
        <v>0</v>
      </c>
      <c r="P46" s="23">
        <f t="shared" si="26"/>
        <v>105469</v>
      </c>
      <c r="Q46" s="11">
        <f t="shared" si="26"/>
        <v>2510150</v>
      </c>
      <c r="R46" s="11">
        <f t="shared" si="25"/>
        <v>2615619</v>
      </c>
      <c r="S46" s="11">
        <f t="shared" si="26"/>
        <v>12320</v>
      </c>
      <c r="T46" s="11">
        <f t="shared" si="26"/>
        <v>0</v>
      </c>
      <c r="U46" s="11">
        <f t="shared" si="26"/>
        <v>2603299</v>
      </c>
      <c r="V46" s="257">
        <f t="shared" si="27"/>
        <v>0</v>
      </c>
    </row>
    <row r="47" spans="1:22" s="255" customFormat="1" ht="20.149999999999999" hidden="1" customHeight="1" outlineLevel="1" x14ac:dyDescent="0.55000000000000004">
      <c r="A47" s="261"/>
      <c r="B47" s="545" t="s">
        <v>25</v>
      </c>
      <c r="C47" s="23">
        <v>73692</v>
      </c>
      <c r="D47" s="23">
        <v>2455538</v>
      </c>
      <c r="E47" s="11">
        <f t="shared" si="23"/>
        <v>2529230</v>
      </c>
      <c r="F47" s="13">
        <v>8224</v>
      </c>
      <c r="G47" s="13">
        <v>0</v>
      </c>
      <c r="H47" s="13">
        <v>2521006</v>
      </c>
      <c r="I47" s="561">
        <v>61709</v>
      </c>
      <c r="J47" s="13">
        <v>748583</v>
      </c>
      <c r="K47" s="11">
        <f t="shared" si="24"/>
        <v>810292</v>
      </c>
      <c r="L47" s="23">
        <v>8022</v>
      </c>
      <c r="M47" s="23">
        <v>0</v>
      </c>
      <c r="N47" s="23">
        <v>802269</v>
      </c>
      <c r="O47" s="271">
        <v>0</v>
      </c>
      <c r="P47" s="23">
        <f t="shared" si="26"/>
        <v>135401</v>
      </c>
      <c r="Q47" s="11">
        <f t="shared" si="26"/>
        <v>3204121</v>
      </c>
      <c r="R47" s="11">
        <f t="shared" si="25"/>
        <v>3339522</v>
      </c>
      <c r="S47" s="11">
        <f t="shared" si="26"/>
        <v>16246</v>
      </c>
      <c r="T47" s="11">
        <f t="shared" si="26"/>
        <v>0</v>
      </c>
      <c r="U47" s="11">
        <f t="shared" si="26"/>
        <v>3323275</v>
      </c>
      <c r="V47" s="257">
        <f t="shared" si="27"/>
        <v>0</v>
      </c>
    </row>
    <row r="48" spans="1:22" s="255" customFormat="1" ht="20.149999999999999" hidden="1" customHeight="1" outlineLevel="1" x14ac:dyDescent="0.55000000000000004">
      <c r="A48" s="261"/>
      <c r="B48" s="545" t="s">
        <v>26</v>
      </c>
      <c r="C48" s="23">
        <v>85198</v>
      </c>
      <c r="D48" s="23">
        <v>3455774</v>
      </c>
      <c r="E48" s="11">
        <f t="shared" si="23"/>
        <v>3540972</v>
      </c>
      <c r="F48" s="13">
        <v>9043</v>
      </c>
      <c r="G48" s="13">
        <v>0</v>
      </c>
      <c r="H48" s="13">
        <v>3531929</v>
      </c>
      <c r="I48" s="561">
        <v>70451</v>
      </c>
      <c r="J48" s="13">
        <v>901534</v>
      </c>
      <c r="K48" s="11">
        <f t="shared" si="24"/>
        <v>971985</v>
      </c>
      <c r="L48" s="23">
        <v>8094</v>
      </c>
      <c r="M48" s="23">
        <v>0</v>
      </c>
      <c r="N48" s="23">
        <v>963891</v>
      </c>
      <c r="O48" s="271">
        <v>0</v>
      </c>
      <c r="P48" s="23">
        <f t="shared" si="26"/>
        <v>155649</v>
      </c>
      <c r="Q48" s="11">
        <f t="shared" si="26"/>
        <v>4357308</v>
      </c>
      <c r="R48" s="11">
        <f t="shared" si="25"/>
        <v>4512957</v>
      </c>
      <c r="S48" s="11">
        <f t="shared" si="26"/>
        <v>17137</v>
      </c>
      <c r="T48" s="11">
        <f t="shared" si="26"/>
        <v>0</v>
      </c>
      <c r="U48" s="11">
        <f t="shared" si="26"/>
        <v>4495820</v>
      </c>
      <c r="V48" s="257">
        <f t="shared" si="27"/>
        <v>0</v>
      </c>
    </row>
    <row r="49" spans="1:22" s="255" customFormat="1" ht="20.149999999999999" hidden="1" customHeight="1" outlineLevel="1" x14ac:dyDescent="0.55000000000000004">
      <c r="A49" s="261"/>
      <c r="B49" s="546" t="s">
        <v>27</v>
      </c>
      <c r="C49" s="258">
        <v>0</v>
      </c>
      <c r="D49" s="259">
        <v>0</v>
      </c>
      <c r="E49" s="259">
        <f t="shared" si="23"/>
        <v>0</v>
      </c>
      <c r="F49" s="259">
        <v>0</v>
      </c>
      <c r="G49" s="259">
        <v>0</v>
      </c>
      <c r="H49" s="260">
        <v>0</v>
      </c>
      <c r="I49" s="562">
        <v>1840621</v>
      </c>
      <c r="J49" s="259">
        <v>93309103</v>
      </c>
      <c r="K49" s="609">
        <f t="shared" si="24"/>
        <v>95149724</v>
      </c>
      <c r="L49" s="272">
        <v>33698</v>
      </c>
      <c r="M49" s="272">
        <v>0</v>
      </c>
      <c r="N49" s="272">
        <v>95116026</v>
      </c>
      <c r="O49" s="266">
        <v>1087297</v>
      </c>
      <c r="P49" s="537">
        <f t="shared" si="26"/>
        <v>1840621</v>
      </c>
      <c r="Q49" s="259">
        <f t="shared" si="26"/>
        <v>93309103</v>
      </c>
      <c r="R49" s="609">
        <f t="shared" si="25"/>
        <v>95149724</v>
      </c>
      <c r="S49" s="609">
        <f t="shared" si="26"/>
        <v>33698</v>
      </c>
      <c r="T49" s="259">
        <f t="shared" si="26"/>
        <v>0</v>
      </c>
      <c r="U49" s="259">
        <f t="shared" si="26"/>
        <v>95116026</v>
      </c>
      <c r="V49" s="607">
        <f t="shared" si="27"/>
        <v>1087297</v>
      </c>
    </row>
    <row r="50" spans="1:22" s="255" customFormat="1" ht="20.149999999999999" customHeight="1" collapsed="1" x14ac:dyDescent="0.55000000000000004">
      <c r="A50" s="21"/>
      <c r="B50" s="538" t="s">
        <v>1</v>
      </c>
      <c r="C50" s="11">
        <v>612742</v>
      </c>
      <c r="D50" s="11">
        <v>23776981</v>
      </c>
      <c r="E50" s="11">
        <v>24389723</v>
      </c>
      <c r="F50" s="11">
        <v>70328</v>
      </c>
      <c r="G50" s="11">
        <v>0</v>
      </c>
      <c r="H50" s="11">
        <v>24319394</v>
      </c>
      <c r="I50" s="12">
        <v>2212378</v>
      </c>
      <c r="J50" s="11">
        <v>101539185</v>
      </c>
      <c r="K50" s="11">
        <v>103751563</v>
      </c>
      <c r="L50" s="11">
        <v>80841</v>
      </c>
      <c r="M50" s="11">
        <v>0</v>
      </c>
      <c r="N50" s="11">
        <v>102699576</v>
      </c>
      <c r="O50" s="256">
        <v>971146</v>
      </c>
      <c r="P50" s="11">
        <v>2825119</v>
      </c>
      <c r="Q50" s="11">
        <v>125316164</v>
      </c>
      <c r="R50" s="11">
        <v>128141285</v>
      </c>
      <c r="S50" s="11">
        <v>151170</v>
      </c>
      <c r="T50" s="11">
        <v>0</v>
      </c>
      <c r="U50" s="11">
        <v>127018969</v>
      </c>
      <c r="V50" s="256">
        <v>971146</v>
      </c>
    </row>
    <row r="51" spans="1:22" s="255" customFormat="1" ht="20.149999999999999" customHeight="1" x14ac:dyDescent="0.55000000000000004">
      <c r="A51" s="254"/>
      <c r="B51" s="539" t="s">
        <v>0</v>
      </c>
      <c r="C51" s="14">
        <v>609851</v>
      </c>
      <c r="D51" s="13">
        <v>23869292</v>
      </c>
      <c r="E51" s="13">
        <v>24479144</v>
      </c>
      <c r="F51" s="13">
        <v>69538</v>
      </c>
      <c r="G51" s="13">
        <v>0</v>
      </c>
      <c r="H51" s="13">
        <v>24409605</v>
      </c>
      <c r="I51" s="14">
        <v>2155053</v>
      </c>
      <c r="J51" s="13">
        <v>100096675</v>
      </c>
      <c r="K51" s="13">
        <v>102251727</v>
      </c>
      <c r="L51" s="13">
        <v>78181</v>
      </c>
      <c r="M51" s="13">
        <v>0</v>
      </c>
      <c r="N51" s="13">
        <v>101248317</v>
      </c>
      <c r="O51" s="257">
        <v>925230</v>
      </c>
      <c r="P51" s="13">
        <v>2764904</v>
      </c>
      <c r="Q51" s="13">
        <v>123965969</v>
      </c>
      <c r="R51" s="13">
        <v>126730871</v>
      </c>
      <c r="S51" s="13">
        <v>147719</v>
      </c>
      <c r="T51" s="13">
        <v>0</v>
      </c>
      <c r="U51" s="13">
        <v>125657922</v>
      </c>
      <c r="V51" s="257">
        <v>978251</v>
      </c>
    </row>
    <row r="52" spans="1:22" s="255" customFormat="1" ht="20.149999999999999" customHeight="1" x14ac:dyDescent="0.55000000000000004">
      <c r="A52" s="254"/>
      <c r="B52" s="539" t="s">
        <v>2</v>
      </c>
      <c r="C52" s="13">
        <v>555107</v>
      </c>
      <c r="D52" s="13">
        <v>24146737</v>
      </c>
      <c r="E52" s="13">
        <v>24701844</v>
      </c>
      <c r="F52" s="13">
        <v>63089</v>
      </c>
      <c r="G52" s="13">
        <v>0</v>
      </c>
      <c r="H52" s="13">
        <v>24638756</v>
      </c>
      <c r="I52" s="14">
        <v>1915932</v>
      </c>
      <c r="J52" s="13">
        <v>98678750</v>
      </c>
      <c r="K52" s="13">
        <v>100594683</v>
      </c>
      <c r="L52" s="13">
        <v>67333</v>
      </c>
      <c r="M52" s="13">
        <v>3</v>
      </c>
      <c r="N52" s="13">
        <v>99602118</v>
      </c>
      <c r="O52" s="257">
        <v>925230</v>
      </c>
      <c r="P52" s="13">
        <v>2471040</v>
      </c>
      <c r="Q52" s="13">
        <v>122825487</v>
      </c>
      <c r="R52" s="13">
        <v>125296527</v>
      </c>
      <c r="S52" s="13">
        <v>130422</v>
      </c>
      <c r="T52" s="13">
        <v>3</v>
      </c>
      <c r="U52" s="13">
        <v>124240873</v>
      </c>
      <c r="V52" s="257">
        <v>925230</v>
      </c>
    </row>
    <row r="53" spans="1:22" s="255" customFormat="1" ht="20.149999999999999" customHeight="1" x14ac:dyDescent="0.55000000000000004">
      <c r="A53" s="254"/>
      <c r="B53" s="539" t="s">
        <v>3</v>
      </c>
      <c r="C53" s="13">
        <v>604522</v>
      </c>
      <c r="D53" s="13">
        <v>19284809</v>
      </c>
      <c r="E53" s="13">
        <v>19889331</v>
      </c>
      <c r="F53" s="13">
        <v>64684</v>
      </c>
      <c r="G53" s="13">
        <v>0</v>
      </c>
      <c r="H53" s="13">
        <v>19824648</v>
      </c>
      <c r="I53" s="14">
        <v>1846958</v>
      </c>
      <c r="J53" s="13">
        <v>72243611</v>
      </c>
      <c r="K53" s="13">
        <v>74090569</v>
      </c>
      <c r="L53" s="13">
        <v>62727</v>
      </c>
      <c r="M53" s="13">
        <v>0</v>
      </c>
      <c r="N53" s="13">
        <v>73038266</v>
      </c>
      <c r="O53" s="257">
        <v>989576</v>
      </c>
      <c r="P53" s="13">
        <v>2451480</v>
      </c>
      <c r="Q53" s="13">
        <v>91528420</v>
      </c>
      <c r="R53" s="13">
        <v>93979900</v>
      </c>
      <c r="S53" s="13">
        <v>127411</v>
      </c>
      <c r="T53" s="13">
        <v>0</v>
      </c>
      <c r="U53" s="13">
        <v>92862914</v>
      </c>
      <c r="V53" s="257">
        <v>989576</v>
      </c>
    </row>
    <row r="54" spans="1:22" s="22" customFormat="1" ht="20.149999999999999" customHeight="1" x14ac:dyDescent="0.55000000000000004">
      <c r="A54" s="254"/>
      <c r="B54" s="539" t="s">
        <v>4</v>
      </c>
      <c r="C54" s="11">
        <v>625057</v>
      </c>
      <c r="D54" s="11">
        <v>19616666</v>
      </c>
      <c r="E54" s="13">
        <v>20241724</v>
      </c>
      <c r="F54" s="11">
        <v>68604</v>
      </c>
      <c r="G54" s="11">
        <v>0</v>
      </c>
      <c r="H54" s="11">
        <v>20173119</v>
      </c>
      <c r="I54" s="12">
        <v>1793967</v>
      </c>
      <c r="J54" s="11">
        <v>71082567</v>
      </c>
      <c r="K54" s="25">
        <v>72876534</v>
      </c>
      <c r="L54" s="11">
        <v>59310</v>
      </c>
      <c r="M54" s="11">
        <v>0</v>
      </c>
      <c r="N54" s="11">
        <v>71832528</v>
      </c>
      <c r="O54" s="256">
        <v>905036</v>
      </c>
      <c r="P54" s="11">
        <v>2407024</v>
      </c>
      <c r="Q54" s="11">
        <v>90699233</v>
      </c>
      <c r="R54" s="25">
        <v>93118257</v>
      </c>
      <c r="S54" s="25">
        <v>127915</v>
      </c>
      <c r="T54" s="25">
        <v>0</v>
      </c>
      <c r="U54" s="25">
        <v>92005648</v>
      </c>
      <c r="V54" s="606">
        <v>905036</v>
      </c>
    </row>
    <row r="55" spans="1:22" x14ac:dyDescent="0.35">
      <c r="B55" s="3"/>
    </row>
    <row r="56" spans="1:22" x14ac:dyDescent="0.35">
      <c r="B56" s="3"/>
    </row>
    <row r="57" spans="1:22" x14ac:dyDescent="0.35">
      <c r="B57" s="3"/>
    </row>
    <row r="58" spans="1:22" x14ac:dyDescent="0.35">
      <c r="B58" s="3"/>
    </row>
    <row r="59" spans="1:22" x14ac:dyDescent="0.35">
      <c r="B59" s="3"/>
    </row>
    <row r="60" spans="1:22" x14ac:dyDescent="0.35">
      <c r="B60" s="3"/>
    </row>
    <row r="61" spans="1:22" x14ac:dyDescent="0.35">
      <c r="B61" s="3"/>
    </row>
    <row r="62" spans="1:22" x14ac:dyDescent="0.35">
      <c r="B62" s="3"/>
    </row>
    <row r="63" spans="1:22" x14ac:dyDescent="0.35">
      <c r="B63" s="3"/>
    </row>
    <row r="64" spans="1:22" x14ac:dyDescent="0.35">
      <c r="B64" s="3"/>
    </row>
    <row r="65" spans="2:2" x14ac:dyDescent="0.35">
      <c r="B65" s="3"/>
    </row>
    <row r="66" spans="2:2" x14ac:dyDescent="0.35">
      <c r="B66" s="3"/>
    </row>
    <row r="67" spans="2:2" x14ac:dyDescent="0.35">
      <c r="B67" s="3"/>
    </row>
    <row r="68" spans="2:2" x14ac:dyDescent="0.35">
      <c r="B68" s="3"/>
    </row>
    <row r="69" spans="2:2" x14ac:dyDescent="0.35">
      <c r="B69" s="3"/>
    </row>
    <row r="70" spans="2:2" x14ac:dyDescent="0.35">
      <c r="B70" s="3"/>
    </row>
    <row r="71" spans="2:2" x14ac:dyDescent="0.35">
      <c r="B71" s="3"/>
    </row>
    <row r="72" spans="2:2" x14ac:dyDescent="0.35">
      <c r="B72" s="3"/>
    </row>
    <row r="73" spans="2:2" x14ac:dyDescent="0.35">
      <c r="B73" s="3"/>
    </row>
    <row r="74" spans="2:2" x14ac:dyDescent="0.35">
      <c r="B74" s="3"/>
    </row>
    <row r="75" spans="2:2" x14ac:dyDescent="0.35">
      <c r="B75" s="3"/>
    </row>
    <row r="76" spans="2:2" x14ac:dyDescent="0.35">
      <c r="B76" s="3"/>
    </row>
    <row r="77" spans="2:2" x14ac:dyDescent="0.35">
      <c r="B77" s="3"/>
    </row>
    <row r="78" spans="2:2" x14ac:dyDescent="0.35">
      <c r="B78" s="3"/>
    </row>
    <row r="79" spans="2:2" x14ac:dyDescent="0.35">
      <c r="B79" s="3"/>
    </row>
    <row r="80" spans="2:2" x14ac:dyDescent="0.35">
      <c r="B80" s="3"/>
    </row>
    <row r="81" spans="2:2" x14ac:dyDescent="0.35">
      <c r="B81" s="3"/>
    </row>
    <row r="82" spans="2:2" x14ac:dyDescent="0.35">
      <c r="B82" s="3"/>
    </row>
    <row r="83" spans="2:2" x14ac:dyDescent="0.35">
      <c r="B83" s="3"/>
    </row>
    <row r="84" spans="2:2" x14ac:dyDescent="0.35">
      <c r="B84" s="3"/>
    </row>
    <row r="85" spans="2:2" x14ac:dyDescent="0.35">
      <c r="B85" s="3"/>
    </row>
    <row r="86" spans="2:2" x14ac:dyDescent="0.35">
      <c r="B86" s="3"/>
    </row>
    <row r="87" spans="2:2" x14ac:dyDescent="0.35">
      <c r="B87" s="3"/>
    </row>
    <row r="88" spans="2:2" x14ac:dyDescent="0.35">
      <c r="B88" s="3"/>
    </row>
    <row r="89" spans="2:2" x14ac:dyDescent="0.35">
      <c r="B89" s="3"/>
    </row>
    <row r="90" spans="2:2" x14ac:dyDescent="0.35">
      <c r="B90" s="3"/>
    </row>
    <row r="91" spans="2:2" x14ac:dyDescent="0.35">
      <c r="B91" s="3"/>
    </row>
    <row r="92" spans="2:2" x14ac:dyDescent="0.35">
      <c r="B92" s="3"/>
    </row>
    <row r="93" spans="2:2" x14ac:dyDescent="0.35">
      <c r="B93" s="3"/>
    </row>
    <row r="94" spans="2:2" x14ac:dyDescent="0.35">
      <c r="B94" s="3"/>
    </row>
    <row r="95" spans="2:2" x14ac:dyDescent="0.35">
      <c r="B95" s="3"/>
    </row>
    <row r="96" spans="2:2" x14ac:dyDescent="0.35">
      <c r="B96" s="3"/>
    </row>
    <row r="97" spans="2:2" x14ac:dyDescent="0.35">
      <c r="B97" s="3"/>
    </row>
    <row r="98" spans="2:2" x14ac:dyDescent="0.35">
      <c r="B98" s="3"/>
    </row>
    <row r="99" spans="2:2" x14ac:dyDescent="0.35">
      <c r="B99" s="3"/>
    </row>
    <row r="100" spans="2:2" x14ac:dyDescent="0.35">
      <c r="B100" s="3"/>
    </row>
    <row r="101" spans="2:2" x14ac:dyDescent="0.35">
      <c r="B101" s="3"/>
    </row>
    <row r="102" spans="2:2" x14ac:dyDescent="0.35">
      <c r="B102" s="3"/>
    </row>
    <row r="103" spans="2:2" x14ac:dyDescent="0.35">
      <c r="B103" s="3"/>
    </row>
    <row r="104" spans="2:2" x14ac:dyDescent="0.35">
      <c r="B104" s="3"/>
    </row>
    <row r="105" spans="2:2" x14ac:dyDescent="0.35">
      <c r="B105" s="3"/>
    </row>
    <row r="106" spans="2:2" x14ac:dyDescent="0.35">
      <c r="B106" s="3"/>
    </row>
    <row r="107" spans="2:2" x14ac:dyDescent="0.35">
      <c r="B107" s="3"/>
    </row>
    <row r="108" spans="2:2" x14ac:dyDescent="0.35">
      <c r="B108" s="3"/>
    </row>
    <row r="109" spans="2:2" x14ac:dyDescent="0.35">
      <c r="B109" s="3"/>
    </row>
    <row r="110" spans="2:2" x14ac:dyDescent="0.35">
      <c r="B110" s="3"/>
    </row>
    <row r="111" spans="2:2" x14ac:dyDescent="0.35">
      <c r="B111" s="3"/>
    </row>
  </sheetData>
  <sortState ref="A14:V18">
    <sortCondition descending="1" ref="B14:B18"/>
  </sortState>
  <customSheetViews>
    <customSheetView guid="{501209ED-4B79-4E52-B95E-748E5E77E24F}" scale="85" hiddenRows="1">
      <pane xSplit="2" ySplit="13" topLeftCell="C14" activePane="bottomRight" state="frozen"/>
      <selection pane="bottomRight" activeCell="G28" sqref="G28"/>
      <pageMargins left="0.59055118110236227" right="0.59055118110236227" top="0.59055118110236227" bottom="0.59055118110236227" header="0.31496062992125984" footer="0.31496062992125984"/>
      <printOptions horizontalCentered="1"/>
      <pageSetup paperSize="9" scale="56" orientation="portrait" r:id="rId1"/>
    </customSheetView>
  </customSheetViews>
  <mergeCells count="15">
    <mergeCell ref="L12:O12"/>
    <mergeCell ref="I11:O11"/>
    <mergeCell ref="K12:K13"/>
    <mergeCell ref="J12:J13"/>
    <mergeCell ref="I12:I13"/>
    <mergeCell ref="E12:E13"/>
    <mergeCell ref="D12:D13"/>
    <mergeCell ref="C12:C13"/>
    <mergeCell ref="F12:H12"/>
    <mergeCell ref="C11:H11"/>
    <mergeCell ref="P11:V11"/>
    <mergeCell ref="S12:V12"/>
    <mergeCell ref="R12:R13"/>
    <mergeCell ref="Q12:Q13"/>
    <mergeCell ref="P12:P13"/>
  </mergeCells>
  <phoneticPr fontId="1"/>
  <conditionalFormatting sqref="C28:V37">
    <cfRule type="containsBlanks" dxfId="419" priority="2">
      <formula>LEN(TRIM(C28))=0</formula>
    </cfRule>
  </conditionalFormatting>
  <conditionalFormatting sqref="C16:V25">
    <cfRule type="containsBlanks" dxfId="418" priority="1">
      <formula>LEN(TRIM(C16))=0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6"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87" zoomScaleNormal="87" workbookViewId="0">
      <pane xSplit="1" ySplit="7" topLeftCell="B8" activePane="bottomRight" state="frozen"/>
      <selection pane="topRight" activeCell="B1" sqref="B1"/>
      <selection pane="bottomLeft" activeCell="A8" sqref="A8"/>
      <selection pane="bottomRight"/>
    </sheetView>
  </sheetViews>
  <sheetFormatPr defaultColWidth="8.58203125" defaultRowHeight="14" x14ac:dyDescent="0.3"/>
  <cols>
    <col min="1" max="1" width="8.5" style="1" bestFit="1" customWidth="1"/>
    <col min="2" max="3" width="35.58203125" style="1" customWidth="1"/>
    <col min="4" max="4" width="50.58203125" style="1" customWidth="1"/>
    <col min="5" max="5" width="10.33203125" style="1" bestFit="1" customWidth="1"/>
    <col min="6" max="6" width="10.33203125" style="2" bestFit="1" customWidth="1"/>
    <col min="7" max="26" width="10.33203125" style="1" bestFit="1" customWidth="1"/>
    <col min="27" max="27" width="11.08203125" style="1" bestFit="1" customWidth="1"/>
    <col min="28" max="16384" width="8.58203125" style="1"/>
  </cols>
  <sheetData>
    <row r="1" spans="1:6" ht="14.5" x14ac:dyDescent="0.3">
      <c r="A1" s="432" t="s">
        <v>438</v>
      </c>
      <c r="C1" s="432"/>
    </row>
    <row r="3" spans="1:6" s="253" customFormat="1" ht="20.149999999999999" customHeight="1" x14ac:dyDescent="0.55000000000000004">
      <c r="A3" s="252" t="s">
        <v>321</v>
      </c>
      <c r="C3" s="252"/>
    </row>
    <row r="4" spans="1:6" s="253" customFormat="1" ht="20.149999999999999" customHeight="1" x14ac:dyDescent="0.55000000000000004">
      <c r="A4" s="252" t="s">
        <v>440</v>
      </c>
      <c r="C4" s="252"/>
    </row>
    <row r="5" spans="1:6" s="255" customFormat="1" ht="14.5" x14ac:dyDescent="0.55000000000000004">
      <c r="C5" s="22"/>
      <c r="F5" s="254"/>
    </row>
    <row r="6" spans="1:6" s="5" customFormat="1" ht="14.5" x14ac:dyDescent="0.35">
      <c r="A6" s="5" t="s">
        <v>499</v>
      </c>
      <c r="D6" s="495"/>
      <c r="F6" s="4"/>
    </row>
    <row r="7" spans="1:6" s="5" customFormat="1" ht="14.5" customHeight="1" x14ac:dyDescent="0.35">
      <c r="A7" s="784" t="s">
        <v>500</v>
      </c>
      <c r="B7" s="786" t="s">
        <v>501</v>
      </c>
      <c r="C7" s="787"/>
      <c r="D7" s="788" t="s">
        <v>502</v>
      </c>
      <c r="E7" s="790" t="s">
        <v>545</v>
      </c>
      <c r="F7" s="4"/>
    </row>
    <row r="8" spans="1:6" ht="14.5" x14ac:dyDescent="0.3">
      <c r="A8" s="785"/>
      <c r="B8" s="472" t="s">
        <v>503</v>
      </c>
      <c r="C8" s="473" t="s">
        <v>504</v>
      </c>
      <c r="D8" s="789"/>
      <c r="E8" s="791"/>
    </row>
    <row r="9" spans="1:6" ht="58" x14ac:dyDescent="0.3">
      <c r="A9" s="474" t="s">
        <v>505</v>
      </c>
      <c r="B9" s="448" t="s">
        <v>506</v>
      </c>
      <c r="C9" s="448"/>
      <c r="D9" s="449" t="s">
        <v>507</v>
      </c>
      <c r="E9" s="466" t="s">
        <v>508</v>
      </c>
    </row>
    <row r="10" spans="1:6" ht="58" x14ac:dyDescent="0.3">
      <c r="A10" s="474" t="s">
        <v>509</v>
      </c>
      <c r="B10" s="448"/>
      <c r="C10" s="448" t="s">
        <v>510</v>
      </c>
      <c r="D10" s="449" t="s">
        <v>511</v>
      </c>
      <c r="E10" s="467" t="s">
        <v>512</v>
      </c>
    </row>
    <row r="11" spans="1:6" ht="43.5" x14ac:dyDescent="0.3">
      <c r="A11" s="474" t="s">
        <v>513</v>
      </c>
      <c r="B11" s="448"/>
      <c r="C11" s="448" t="s">
        <v>514</v>
      </c>
      <c r="D11" s="449" t="s">
        <v>515</v>
      </c>
      <c r="E11" s="466"/>
    </row>
    <row r="12" spans="1:6" ht="58" x14ac:dyDescent="0.3">
      <c r="A12" s="474" t="s">
        <v>516</v>
      </c>
      <c r="B12" s="448" t="s">
        <v>517</v>
      </c>
      <c r="C12" s="448" t="s">
        <v>518</v>
      </c>
      <c r="D12" s="449" t="s">
        <v>678</v>
      </c>
      <c r="E12" s="466"/>
    </row>
    <row r="13" spans="1:6" ht="29" x14ac:dyDescent="0.3">
      <c r="A13" s="474" t="s">
        <v>519</v>
      </c>
      <c r="B13" s="448" t="s">
        <v>520</v>
      </c>
      <c r="C13" s="448"/>
      <c r="D13" s="449" t="s">
        <v>521</v>
      </c>
      <c r="E13" s="466"/>
    </row>
    <row r="14" spans="1:6" ht="29" x14ac:dyDescent="0.3">
      <c r="A14" s="474" t="s">
        <v>509</v>
      </c>
      <c r="B14" s="448" t="s">
        <v>522</v>
      </c>
      <c r="C14" s="448"/>
      <c r="D14" s="449" t="s">
        <v>523</v>
      </c>
      <c r="E14" s="466" t="s">
        <v>524</v>
      </c>
    </row>
    <row r="15" spans="1:6" ht="29" x14ac:dyDescent="0.3">
      <c r="A15" s="474" t="s">
        <v>525</v>
      </c>
      <c r="B15" s="448" t="s">
        <v>526</v>
      </c>
      <c r="C15" s="448"/>
      <c r="D15" s="449" t="s">
        <v>527</v>
      </c>
      <c r="E15" s="466" t="s">
        <v>528</v>
      </c>
    </row>
    <row r="16" spans="1:6" ht="29" x14ac:dyDescent="0.3">
      <c r="A16" s="474" t="s">
        <v>529</v>
      </c>
      <c r="B16" s="448" t="s">
        <v>530</v>
      </c>
      <c r="C16" s="448"/>
      <c r="D16" s="449" t="s">
        <v>531</v>
      </c>
      <c r="E16" s="466" t="s">
        <v>532</v>
      </c>
    </row>
    <row r="17" spans="1:5" ht="43.5" x14ac:dyDescent="0.3">
      <c r="A17" s="474" t="s">
        <v>509</v>
      </c>
      <c r="B17" s="448" t="s">
        <v>533</v>
      </c>
      <c r="C17" s="448"/>
      <c r="D17" s="449" t="s">
        <v>534</v>
      </c>
      <c r="E17" s="466"/>
    </row>
    <row r="18" spans="1:5" ht="43.5" x14ac:dyDescent="0.3">
      <c r="A18" s="474" t="s">
        <v>509</v>
      </c>
      <c r="B18" s="448" t="s">
        <v>535</v>
      </c>
      <c r="C18" s="448"/>
      <c r="D18" s="449" t="s">
        <v>679</v>
      </c>
      <c r="E18" s="466" t="s">
        <v>536</v>
      </c>
    </row>
    <row r="19" spans="1:5" ht="72.5" x14ac:dyDescent="0.3">
      <c r="A19" s="474" t="s">
        <v>509</v>
      </c>
      <c r="B19" s="448" t="s">
        <v>537</v>
      </c>
      <c r="C19" s="448"/>
      <c r="D19" s="449" t="s">
        <v>538</v>
      </c>
      <c r="E19" s="466"/>
    </row>
    <row r="20" spans="1:5" ht="29" x14ac:dyDescent="0.3">
      <c r="A20" s="474" t="s">
        <v>509</v>
      </c>
      <c r="B20" s="448"/>
      <c r="C20" s="448" t="s">
        <v>539</v>
      </c>
      <c r="D20" s="449" t="s">
        <v>540</v>
      </c>
      <c r="E20" s="466" t="s">
        <v>541</v>
      </c>
    </row>
    <row r="21" spans="1:5" ht="58" x14ac:dyDescent="0.3">
      <c r="A21" s="474" t="s">
        <v>509</v>
      </c>
      <c r="B21" s="448"/>
      <c r="C21" s="448" t="s">
        <v>542</v>
      </c>
      <c r="D21" s="449" t="s">
        <v>543</v>
      </c>
      <c r="E21" s="467" t="s">
        <v>544</v>
      </c>
    </row>
    <row r="22" spans="1:5" ht="29" x14ac:dyDescent="0.3">
      <c r="A22" s="475" t="s">
        <v>529</v>
      </c>
      <c r="B22" s="450"/>
      <c r="C22" s="450" t="s">
        <v>546</v>
      </c>
      <c r="D22" s="451" t="s">
        <v>547</v>
      </c>
      <c r="E22" s="466"/>
    </row>
    <row r="23" spans="1:5" ht="43.5" x14ac:dyDescent="0.3">
      <c r="A23" s="475" t="s">
        <v>548</v>
      </c>
      <c r="B23" s="450" t="s">
        <v>549</v>
      </c>
      <c r="C23" s="450"/>
      <c r="D23" s="451" t="s">
        <v>550</v>
      </c>
      <c r="E23" s="467"/>
    </row>
    <row r="24" spans="1:5" ht="29" x14ac:dyDescent="0.3">
      <c r="A24" s="475" t="s">
        <v>551</v>
      </c>
      <c r="B24" s="450" t="s">
        <v>552</v>
      </c>
      <c r="C24" s="450"/>
      <c r="D24" s="451" t="s">
        <v>553</v>
      </c>
      <c r="E24" s="466"/>
    </row>
    <row r="25" spans="1:5" ht="43.5" x14ac:dyDescent="0.3">
      <c r="A25" s="475" t="s">
        <v>554</v>
      </c>
      <c r="B25" s="450" t="s">
        <v>555</v>
      </c>
      <c r="C25" s="450"/>
      <c r="D25" s="451" t="s">
        <v>680</v>
      </c>
      <c r="E25" s="466" t="s">
        <v>556</v>
      </c>
    </row>
    <row r="26" spans="1:5" ht="43.5" x14ac:dyDescent="0.3">
      <c r="A26" s="475" t="s">
        <v>557</v>
      </c>
      <c r="B26" s="450"/>
      <c r="C26" s="450" t="s">
        <v>558</v>
      </c>
      <c r="D26" s="451" t="s">
        <v>559</v>
      </c>
      <c r="E26" s="466" t="s">
        <v>560</v>
      </c>
    </row>
    <row r="27" spans="1:5" ht="29" x14ac:dyDescent="0.3">
      <c r="A27" s="475" t="s">
        <v>561</v>
      </c>
      <c r="B27" s="783" t="s">
        <v>562</v>
      </c>
      <c r="C27" s="783"/>
      <c r="D27" s="451" t="s">
        <v>563</v>
      </c>
      <c r="E27" s="466"/>
    </row>
    <row r="28" spans="1:5" ht="58" x14ac:dyDescent="0.3">
      <c r="A28" s="475" t="s">
        <v>564</v>
      </c>
      <c r="B28" s="450"/>
      <c r="C28" s="450" t="s">
        <v>565</v>
      </c>
      <c r="D28" s="451" t="s">
        <v>566</v>
      </c>
      <c r="E28" s="467" t="s">
        <v>567</v>
      </c>
    </row>
    <row r="29" spans="1:5" ht="159.5" x14ac:dyDescent="0.3">
      <c r="A29" s="475" t="s">
        <v>509</v>
      </c>
      <c r="B29" s="450"/>
      <c r="C29" s="450" t="s">
        <v>568</v>
      </c>
      <c r="D29" s="451" t="s">
        <v>569</v>
      </c>
      <c r="E29" s="467" t="s">
        <v>570</v>
      </c>
    </row>
    <row r="30" spans="1:5" ht="43.5" x14ac:dyDescent="0.3">
      <c r="A30" s="475" t="s">
        <v>509</v>
      </c>
      <c r="B30" s="450"/>
      <c r="C30" s="450" t="s">
        <v>571</v>
      </c>
      <c r="D30" s="451" t="s">
        <v>572</v>
      </c>
      <c r="E30" s="467" t="s">
        <v>573</v>
      </c>
    </row>
    <row r="31" spans="1:5" ht="43.5" x14ac:dyDescent="0.3">
      <c r="A31" s="475" t="s">
        <v>509</v>
      </c>
      <c r="B31" s="450"/>
      <c r="C31" s="450" t="s">
        <v>574</v>
      </c>
      <c r="D31" s="451" t="s">
        <v>575</v>
      </c>
      <c r="E31" s="466" t="s">
        <v>576</v>
      </c>
    </row>
    <row r="32" spans="1:5" ht="43.5" x14ac:dyDescent="0.3">
      <c r="A32" s="475" t="s">
        <v>577</v>
      </c>
      <c r="B32" s="450" t="s">
        <v>578</v>
      </c>
      <c r="C32" s="450"/>
      <c r="D32" s="451" t="s">
        <v>579</v>
      </c>
      <c r="E32" s="466" t="s">
        <v>508</v>
      </c>
    </row>
    <row r="33" spans="1:5" ht="29" x14ac:dyDescent="0.3">
      <c r="A33" s="475" t="s">
        <v>509</v>
      </c>
      <c r="B33" s="450" t="s">
        <v>580</v>
      </c>
      <c r="C33" s="450"/>
      <c r="D33" s="451" t="s">
        <v>581</v>
      </c>
      <c r="E33" s="467" t="s">
        <v>508</v>
      </c>
    </row>
    <row r="34" spans="1:5" ht="72.5" x14ac:dyDescent="0.3">
      <c r="A34" s="474" t="s">
        <v>577</v>
      </c>
      <c r="B34" s="450" t="s">
        <v>582</v>
      </c>
      <c r="C34" s="450"/>
      <c r="D34" s="451" t="s">
        <v>583</v>
      </c>
      <c r="E34" s="466"/>
    </row>
    <row r="35" spans="1:5" ht="43.5" x14ac:dyDescent="0.3">
      <c r="A35" s="474" t="s">
        <v>509</v>
      </c>
      <c r="B35" s="450"/>
      <c r="C35" s="450" t="s">
        <v>584</v>
      </c>
      <c r="D35" s="451" t="s">
        <v>681</v>
      </c>
      <c r="E35" s="467" t="s">
        <v>512</v>
      </c>
    </row>
    <row r="36" spans="1:5" ht="29" x14ac:dyDescent="0.3">
      <c r="A36" s="474" t="s">
        <v>509</v>
      </c>
      <c r="B36" s="450"/>
      <c r="C36" s="450" t="s">
        <v>585</v>
      </c>
      <c r="D36" s="451" t="s">
        <v>586</v>
      </c>
      <c r="E36" s="467" t="s">
        <v>512</v>
      </c>
    </row>
    <row r="37" spans="1:5" ht="72.5" x14ac:dyDescent="0.3">
      <c r="A37" s="474" t="s">
        <v>587</v>
      </c>
      <c r="B37" s="450" t="s">
        <v>588</v>
      </c>
      <c r="C37" s="450"/>
      <c r="D37" s="451" t="s">
        <v>589</v>
      </c>
      <c r="E37" s="466"/>
    </row>
    <row r="38" spans="1:5" ht="380.15" customHeight="1" x14ac:dyDescent="0.3">
      <c r="A38" s="474" t="s">
        <v>590</v>
      </c>
      <c r="B38" s="450" t="s">
        <v>591</v>
      </c>
      <c r="C38" s="450"/>
      <c r="D38" s="451" t="s">
        <v>592</v>
      </c>
      <c r="E38" s="467" t="s">
        <v>593</v>
      </c>
    </row>
    <row r="39" spans="1:5" ht="43.5" x14ac:dyDescent="0.3">
      <c r="A39" s="474" t="s">
        <v>509</v>
      </c>
      <c r="B39" s="450" t="s">
        <v>594</v>
      </c>
      <c r="C39" s="450"/>
      <c r="D39" s="451" t="s">
        <v>595</v>
      </c>
      <c r="E39" s="466" t="s">
        <v>596</v>
      </c>
    </row>
    <row r="40" spans="1:5" ht="72.5" x14ac:dyDescent="0.3">
      <c r="A40" s="474" t="s">
        <v>509</v>
      </c>
      <c r="B40" s="450" t="s">
        <v>597</v>
      </c>
      <c r="C40" s="450"/>
      <c r="D40" s="451" t="s">
        <v>682</v>
      </c>
      <c r="E40" s="467" t="s">
        <v>598</v>
      </c>
    </row>
    <row r="41" spans="1:5" ht="58" x14ac:dyDescent="0.3">
      <c r="A41" s="474" t="s">
        <v>509</v>
      </c>
      <c r="B41" s="450" t="s">
        <v>599</v>
      </c>
      <c r="C41" s="450"/>
      <c r="D41" s="451" t="s">
        <v>600</v>
      </c>
      <c r="E41" s="467" t="s">
        <v>601</v>
      </c>
    </row>
    <row r="42" spans="1:5" ht="58" x14ac:dyDescent="0.3">
      <c r="A42" s="474" t="s">
        <v>590</v>
      </c>
      <c r="B42" s="450" t="s">
        <v>602</v>
      </c>
      <c r="C42" s="450"/>
      <c r="D42" s="451" t="s">
        <v>603</v>
      </c>
      <c r="E42" s="466" t="s">
        <v>604</v>
      </c>
    </row>
    <row r="43" spans="1:5" ht="58" x14ac:dyDescent="0.3">
      <c r="A43" s="474" t="s">
        <v>509</v>
      </c>
      <c r="B43" s="450" t="s">
        <v>605</v>
      </c>
      <c r="C43" s="450"/>
      <c r="D43" s="451" t="s">
        <v>606</v>
      </c>
      <c r="E43" s="467" t="s">
        <v>607</v>
      </c>
    </row>
    <row r="44" spans="1:5" ht="130.5" x14ac:dyDescent="0.3">
      <c r="A44" s="474" t="s">
        <v>509</v>
      </c>
      <c r="B44" s="450"/>
      <c r="C44" s="450" t="s">
        <v>608</v>
      </c>
      <c r="D44" s="451" t="s">
        <v>609</v>
      </c>
      <c r="E44" s="467" t="s">
        <v>610</v>
      </c>
    </row>
    <row r="45" spans="1:5" ht="72.5" x14ac:dyDescent="0.3">
      <c r="A45" s="474" t="s">
        <v>611</v>
      </c>
      <c r="B45" s="450"/>
      <c r="C45" s="450" t="s">
        <v>612</v>
      </c>
      <c r="D45" s="451" t="s">
        <v>613</v>
      </c>
      <c r="E45" s="466" t="s">
        <v>614</v>
      </c>
    </row>
    <row r="46" spans="1:5" ht="58" x14ac:dyDescent="0.3">
      <c r="A46" s="474" t="s">
        <v>509</v>
      </c>
      <c r="B46" s="450"/>
      <c r="C46" s="450" t="s">
        <v>615</v>
      </c>
      <c r="D46" s="451" t="s">
        <v>616</v>
      </c>
      <c r="E46" s="467" t="s">
        <v>617</v>
      </c>
    </row>
    <row r="47" spans="1:5" ht="101.5" x14ac:dyDescent="0.3">
      <c r="A47" s="474" t="s">
        <v>618</v>
      </c>
      <c r="B47" s="450"/>
      <c r="C47" s="450" t="s">
        <v>619</v>
      </c>
      <c r="D47" s="451" t="s">
        <v>620</v>
      </c>
      <c r="E47" s="466"/>
    </row>
    <row r="48" spans="1:5" ht="72.5" x14ac:dyDescent="0.3">
      <c r="A48" s="474" t="s">
        <v>621</v>
      </c>
      <c r="B48" s="450"/>
      <c r="C48" s="450" t="s">
        <v>622</v>
      </c>
      <c r="D48" s="451" t="s">
        <v>683</v>
      </c>
      <c r="E48" s="467" t="s">
        <v>623</v>
      </c>
    </row>
    <row r="49" spans="1:5" ht="43.5" x14ac:dyDescent="0.3">
      <c r="A49" s="474" t="s">
        <v>509</v>
      </c>
      <c r="B49" s="450"/>
      <c r="C49" s="450" t="s">
        <v>624</v>
      </c>
      <c r="D49" s="451" t="s">
        <v>625</v>
      </c>
      <c r="E49" s="466"/>
    </row>
    <row r="50" spans="1:5" ht="43.5" x14ac:dyDescent="0.3">
      <c r="A50" s="474" t="s">
        <v>626</v>
      </c>
      <c r="B50" s="450" t="s">
        <v>627</v>
      </c>
      <c r="C50" s="450"/>
      <c r="D50" s="451" t="s">
        <v>628</v>
      </c>
      <c r="E50" s="467" t="s">
        <v>629</v>
      </c>
    </row>
    <row r="51" spans="1:5" ht="58" x14ac:dyDescent="0.3">
      <c r="A51" s="474" t="s">
        <v>509</v>
      </c>
      <c r="B51" s="450"/>
      <c r="C51" s="450" t="s">
        <v>630</v>
      </c>
      <c r="D51" s="451" t="s">
        <v>673</v>
      </c>
      <c r="E51" s="467" t="s">
        <v>631</v>
      </c>
    </row>
    <row r="52" spans="1:5" ht="58" x14ac:dyDescent="0.3">
      <c r="A52" s="474" t="s">
        <v>632</v>
      </c>
      <c r="B52" s="450"/>
      <c r="C52" s="450" t="s">
        <v>539</v>
      </c>
      <c r="D52" s="451" t="s">
        <v>684</v>
      </c>
      <c r="E52" s="467" t="s">
        <v>633</v>
      </c>
    </row>
    <row r="53" spans="1:5" ht="29" x14ac:dyDescent="0.3">
      <c r="A53" s="474" t="s">
        <v>509</v>
      </c>
      <c r="B53" s="450"/>
      <c r="C53" s="450" t="s">
        <v>634</v>
      </c>
      <c r="D53" s="451" t="s">
        <v>635</v>
      </c>
      <c r="E53" s="467" t="s">
        <v>636</v>
      </c>
    </row>
    <row r="54" spans="1:5" ht="72.5" x14ac:dyDescent="0.3">
      <c r="A54" s="474" t="s">
        <v>637</v>
      </c>
      <c r="B54" s="450" t="s">
        <v>638</v>
      </c>
      <c r="C54" s="450"/>
      <c r="D54" s="451" t="s">
        <v>685</v>
      </c>
      <c r="E54" s="467" t="s">
        <v>639</v>
      </c>
    </row>
    <row r="55" spans="1:5" ht="58" x14ac:dyDescent="0.3">
      <c r="A55" s="474" t="s">
        <v>640</v>
      </c>
      <c r="B55" s="450"/>
      <c r="C55" s="450" t="s">
        <v>641</v>
      </c>
      <c r="D55" s="451" t="s">
        <v>686</v>
      </c>
      <c r="E55" s="466"/>
    </row>
    <row r="56" spans="1:5" ht="116" x14ac:dyDescent="0.3">
      <c r="A56" s="474" t="s">
        <v>642</v>
      </c>
      <c r="B56" s="450" t="s">
        <v>643</v>
      </c>
      <c r="C56" s="450"/>
      <c r="D56" s="451" t="s">
        <v>676</v>
      </c>
      <c r="E56" s="467" t="s">
        <v>644</v>
      </c>
    </row>
    <row r="57" spans="1:5" ht="43.5" x14ac:dyDescent="0.3">
      <c r="A57" s="474" t="s">
        <v>645</v>
      </c>
      <c r="B57" s="450" t="s">
        <v>646</v>
      </c>
      <c r="C57" s="450"/>
      <c r="D57" s="451" t="s">
        <v>677</v>
      </c>
      <c r="E57" s="467" t="s">
        <v>647</v>
      </c>
    </row>
    <row r="58" spans="1:5" ht="116" x14ac:dyDescent="0.3">
      <c r="A58" s="474" t="s">
        <v>648</v>
      </c>
      <c r="B58" s="450" t="s">
        <v>649</v>
      </c>
      <c r="C58" s="450"/>
      <c r="D58" s="451" t="s">
        <v>687</v>
      </c>
      <c r="E58" s="467" t="s">
        <v>650</v>
      </c>
    </row>
    <row r="59" spans="1:5" ht="43.5" x14ac:dyDescent="0.3">
      <c r="A59" s="474" t="s">
        <v>509</v>
      </c>
      <c r="B59" s="450"/>
      <c r="C59" s="450" t="s">
        <v>651</v>
      </c>
      <c r="D59" s="451" t="s">
        <v>688</v>
      </c>
      <c r="E59" s="467" t="s">
        <v>652</v>
      </c>
    </row>
    <row r="60" spans="1:5" ht="58" x14ac:dyDescent="0.3">
      <c r="A60" s="474" t="s">
        <v>653</v>
      </c>
      <c r="B60" s="450"/>
      <c r="C60" s="450" t="s">
        <v>654</v>
      </c>
      <c r="D60" s="451" t="s">
        <v>655</v>
      </c>
      <c r="E60" s="467" t="s">
        <v>656</v>
      </c>
    </row>
    <row r="61" spans="1:5" ht="203" x14ac:dyDescent="0.3">
      <c r="A61" s="474" t="s">
        <v>657</v>
      </c>
      <c r="B61" s="450" t="s">
        <v>658</v>
      </c>
      <c r="C61" s="450"/>
      <c r="D61" s="451" t="s">
        <v>675</v>
      </c>
      <c r="E61" s="467" t="s">
        <v>659</v>
      </c>
    </row>
    <row r="62" spans="1:5" ht="58" x14ac:dyDescent="0.3">
      <c r="A62" s="474" t="s">
        <v>660</v>
      </c>
      <c r="B62" s="450" t="s">
        <v>661</v>
      </c>
      <c r="C62" s="450"/>
      <c r="D62" s="451" t="s">
        <v>662</v>
      </c>
      <c r="E62" s="467" t="s">
        <v>663</v>
      </c>
    </row>
    <row r="63" spans="1:5" ht="43.5" x14ac:dyDescent="0.3">
      <c r="A63" s="474" t="s">
        <v>664</v>
      </c>
      <c r="B63" s="450" t="s">
        <v>665</v>
      </c>
      <c r="C63" s="450"/>
      <c r="D63" s="451" t="s">
        <v>666</v>
      </c>
      <c r="E63" s="467" t="s">
        <v>647</v>
      </c>
    </row>
    <row r="64" spans="1:5" ht="101.5" x14ac:dyDescent="0.3">
      <c r="A64" s="474" t="s">
        <v>667</v>
      </c>
      <c r="B64" s="450"/>
      <c r="C64" s="450" t="s">
        <v>668</v>
      </c>
      <c r="D64" s="451" t="s">
        <v>674</v>
      </c>
      <c r="E64" s="467" t="s">
        <v>656</v>
      </c>
    </row>
    <row r="65" spans="1:5" ht="87" x14ac:dyDescent="0.3">
      <c r="A65" s="476" t="s">
        <v>669</v>
      </c>
      <c r="B65" s="468"/>
      <c r="C65" s="468" t="s">
        <v>670</v>
      </c>
      <c r="D65" s="469" t="s">
        <v>671</v>
      </c>
      <c r="E65" s="470" t="s">
        <v>672</v>
      </c>
    </row>
  </sheetData>
  <customSheetViews>
    <customSheetView guid="{501209ED-4B79-4E52-B95E-748E5E77E24F}" scale="87">
      <pane xSplit="1" ySplit="7" topLeftCell="B9" activePane="bottomRight" state="frozen"/>
      <selection pane="bottomRight"/>
      <pageMargins left="0.59055118110236227" right="0.59055118110236227" top="0.59055118110236227" bottom="0.59055118110236227" header="0.31496062992125984" footer="0.31496062992125984"/>
      <printOptions horizontalCentered="1"/>
      <pageSetup paperSize="9" scale="29" orientation="portrait" r:id="rId1"/>
    </customSheetView>
  </customSheetViews>
  <mergeCells count="5">
    <mergeCell ref="B27:C27"/>
    <mergeCell ref="A7:A8"/>
    <mergeCell ref="B7:C7"/>
    <mergeCell ref="D7:D8"/>
    <mergeCell ref="E7:E8"/>
  </mergeCells>
  <phoneticPr fontId="1"/>
  <hyperlinks>
    <hyperlink ref="A1:C1" location="目次!A1" display="目次へ戻る"/>
  </hyperlinks>
  <printOptions horizontalCentered="1"/>
  <pageMargins left="0.59055118110236227" right="0.59055118110236227" top="0.59055118110236227" bottom="0.59055118110236227" header="0.31496062992125984" footer="0.31496062992125984"/>
  <pageSetup paperSize="9" scale="2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zoomScale="87" zoomScaleNormal="87" workbookViewId="0">
      <selection activeCell="B1" sqref="B1"/>
    </sheetView>
  </sheetViews>
  <sheetFormatPr defaultColWidth="8.58203125" defaultRowHeight="14" x14ac:dyDescent="0.3"/>
  <cols>
    <col min="1" max="1" width="3.08203125" style="254" bestFit="1" customWidth="1"/>
    <col min="2" max="2" width="12.33203125" style="1" bestFit="1" customWidth="1"/>
    <col min="3" max="3" width="35.58203125" style="1" customWidth="1"/>
    <col min="4" max="4" width="50.58203125" style="1" customWidth="1"/>
    <col min="5" max="5" width="11.83203125" style="1" bestFit="1" customWidth="1"/>
    <col min="6" max="6" width="11.58203125" style="2" bestFit="1" customWidth="1"/>
    <col min="7" max="7" width="11.58203125" style="1" bestFit="1" customWidth="1"/>
    <col min="8" max="8" width="2.08203125" style="1" customWidth="1"/>
    <col min="9" max="9" width="50.58203125" style="1" customWidth="1"/>
    <col min="10" max="26" width="10.33203125" style="1" bestFit="1" customWidth="1"/>
    <col min="27" max="27" width="11.08203125" style="1" bestFit="1" customWidth="1"/>
    <col min="28" max="16384" width="8.58203125" style="1"/>
  </cols>
  <sheetData>
    <row r="1" spans="1:7" ht="14.5" x14ac:dyDescent="0.3">
      <c r="A1" s="432" t="s">
        <v>438</v>
      </c>
    </row>
    <row r="2" spans="1:7" x14ac:dyDescent="0.3">
      <c r="A2" s="437"/>
    </row>
    <row r="3" spans="1:7" s="253" customFormat="1" ht="20.149999999999999" customHeight="1" x14ac:dyDescent="0.55000000000000004">
      <c r="A3" s="252" t="s">
        <v>321</v>
      </c>
    </row>
    <row r="4" spans="1:7" s="253" customFormat="1" ht="20.149999999999999" customHeight="1" x14ac:dyDescent="0.55000000000000004">
      <c r="A4" s="252" t="s">
        <v>440</v>
      </c>
    </row>
    <row r="5" spans="1:7" s="255" customFormat="1" x14ac:dyDescent="0.55000000000000004">
      <c r="A5" s="437"/>
      <c r="F5" s="254"/>
    </row>
    <row r="6" spans="1:7" s="5" customFormat="1" ht="14.5" x14ac:dyDescent="0.35">
      <c r="A6" s="30" t="s">
        <v>689</v>
      </c>
      <c r="F6" s="4"/>
    </row>
    <row r="7" spans="1:7" s="5" customFormat="1" ht="14.5" x14ac:dyDescent="0.35">
      <c r="A7" s="30" t="s">
        <v>690</v>
      </c>
      <c r="F7" s="4"/>
    </row>
    <row r="8" spans="1:7" ht="14.5" x14ac:dyDescent="0.3">
      <c r="A8" s="471"/>
      <c r="B8" s="480" t="s">
        <v>443</v>
      </c>
      <c r="C8" s="480" t="s">
        <v>444</v>
      </c>
      <c r="D8" s="481" t="s">
        <v>445</v>
      </c>
      <c r="E8" s="482" t="s">
        <v>691</v>
      </c>
      <c r="F8" s="482" t="s">
        <v>446</v>
      </c>
      <c r="G8" s="482" t="s">
        <v>692</v>
      </c>
    </row>
    <row r="9" spans="1:7" ht="43.5" x14ac:dyDescent="0.3">
      <c r="A9" s="483">
        <v>1</v>
      </c>
      <c r="B9" s="484" t="s">
        <v>447</v>
      </c>
      <c r="C9" s="477" t="s">
        <v>693</v>
      </c>
      <c r="D9" s="478" t="s">
        <v>694</v>
      </c>
      <c r="E9" s="478"/>
      <c r="F9" s="478" t="s">
        <v>695</v>
      </c>
      <c r="G9" s="478"/>
    </row>
    <row r="10" spans="1:7" ht="58" x14ac:dyDescent="0.3">
      <c r="A10" s="483">
        <v>2</v>
      </c>
      <c r="B10" s="798" t="s">
        <v>452</v>
      </c>
      <c r="C10" s="477" t="s">
        <v>696</v>
      </c>
      <c r="D10" s="478" t="s">
        <v>697</v>
      </c>
      <c r="E10" s="478" t="s">
        <v>698</v>
      </c>
      <c r="F10" s="478" t="s">
        <v>699</v>
      </c>
      <c r="G10" s="478"/>
    </row>
    <row r="11" spans="1:7" ht="14.5" x14ac:dyDescent="0.3">
      <c r="A11" s="483">
        <v>3</v>
      </c>
      <c r="B11" s="798"/>
      <c r="C11" s="477" t="s">
        <v>700</v>
      </c>
      <c r="D11" s="478" t="s">
        <v>701</v>
      </c>
      <c r="E11" s="478" t="s">
        <v>702</v>
      </c>
      <c r="F11" s="478" t="s">
        <v>703</v>
      </c>
      <c r="G11" s="478"/>
    </row>
    <row r="12" spans="1:7" ht="43.5" x14ac:dyDescent="0.3">
      <c r="A12" s="483">
        <v>4</v>
      </c>
      <c r="B12" s="798"/>
      <c r="C12" s="806" t="s">
        <v>704</v>
      </c>
      <c r="D12" s="478" t="s">
        <v>705</v>
      </c>
      <c r="E12" s="479"/>
      <c r="F12" s="478" t="s">
        <v>706</v>
      </c>
      <c r="G12" s="479"/>
    </row>
    <row r="13" spans="1:7" ht="43.5" x14ac:dyDescent="0.3">
      <c r="A13" s="483">
        <v>5</v>
      </c>
      <c r="B13" s="798"/>
      <c r="C13" s="807"/>
      <c r="D13" s="478" t="s">
        <v>707</v>
      </c>
      <c r="E13" s="478" t="s">
        <v>708</v>
      </c>
      <c r="F13" s="478" t="s">
        <v>709</v>
      </c>
      <c r="G13" s="478"/>
    </row>
    <row r="14" spans="1:7" ht="43.5" x14ac:dyDescent="0.3">
      <c r="A14" s="483">
        <v>6</v>
      </c>
      <c r="B14" s="798"/>
      <c r="C14" s="477" t="s">
        <v>710</v>
      </c>
      <c r="D14" s="478" t="s">
        <v>711</v>
      </c>
      <c r="E14" s="478" t="s">
        <v>712</v>
      </c>
      <c r="F14" s="478" t="s">
        <v>713</v>
      </c>
      <c r="G14" s="478"/>
    </row>
    <row r="15" spans="1:7" ht="29" x14ac:dyDescent="0.3">
      <c r="A15" s="483">
        <v>7</v>
      </c>
      <c r="B15" s="798"/>
      <c r="C15" s="477" t="s">
        <v>714</v>
      </c>
      <c r="D15" s="478" t="s">
        <v>715</v>
      </c>
      <c r="E15" s="478" t="s">
        <v>716</v>
      </c>
      <c r="F15" s="478" t="s">
        <v>717</v>
      </c>
      <c r="G15" s="478"/>
    </row>
    <row r="16" spans="1:7" ht="58" x14ac:dyDescent="0.3">
      <c r="A16" s="483">
        <v>8</v>
      </c>
      <c r="B16" s="798"/>
      <c r="C16" s="477" t="s">
        <v>718</v>
      </c>
      <c r="D16" s="478" t="s">
        <v>719</v>
      </c>
      <c r="E16" s="478" t="s">
        <v>720</v>
      </c>
      <c r="F16" s="478" t="s">
        <v>721</v>
      </c>
      <c r="G16" s="478"/>
    </row>
    <row r="17" spans="1:7" ht="43.5" x14ac:dyDescent="0.3">
      <c r="A17" s="483">
        <v>9</v>
      </c>
      <c r="B17" s="798"/>
      <c r="C17" s="477" t="s">
        <v>722</v>
      </c>
      <c r="D17" s="478" t="s">
        <v>723</v>
      </c>
      <c r="E17" s="478"/>
      <c r="F17" s="478" t="s">
        <v>724</v>
      </c>
      <c r="G17" s="478"/>
    </row>
    <row r="18" spans="1:7" ht="58" x14ac:dyDescent="0.3">
      <c r="A18" s="483">
        <v>10</v>
      </c>
      <c r="B18" s="798"/>
      <c r="C18" s="477" t="s">
        <v>725</v>
      </c>
      <c r="D18" s="478" t="s">
        <v>726</v>
      </c>
      <c r="E18" s="478" t="s">
        <v>727</v>
      </c>
      <c r="F18" s="478" t="s">
        <v>728</v>
      </c>
      <c r="G18" s="478" t="s">
        <v>729</v>
      </c>
    </row>
    <row r="19" spans="1:7" ht="58" x14ac:dyDescent="0.3">
      <c r="A19" s="483">
        <v>11</v>
      </c>
      <c r="B19" s="798" t="s">
        <v>457</v>
      </c>
      <c r="C19" s="477" t="s">
        <v>730</v>
      </c>
      <c r="D19" s="478" t="s">
        <v>731</v>
      </c>
      <c r="E19" s="478" t="s">
        <v>732</v>
      </c>
      <c r="F19" s="478" t="s">
        <v>733</v>
      </c>
      <c r="G19" s="478"/>
    </row>
    <row r="20" spans="1:7" ht="43.5" x14ac:dyDescent="0.3">
      <c r="A20" s="483">
        <v>12</v>
      </c>
      <c r="B20" s="798"/>
      <c r="C20" s="477" t="s">
        <v>734</v>
      </c>
      <c r="D20" s="478" t="s">
        <v>735</v>
      </c>
      <c r="E20" s="478" t="s">
        <v>732</v>
      </c>
      <c r="F20" s="478" t="s">
        <v>736</v>
      </c>
      <c r="G20" s="479"/>
    </row>
    <row r="21" spans="1:7" ht="43.5" x14ac:dyDescent="0.3">
      <c r="A21" s="483">
        <v>13</v>
      </c>
      <c r="B21" s="798" t="s">
        <v>467</v>
      </c>
      <c r="C21" s="477" t="s">
        <v>737</v>
      </c>
      <c r="D21" s="478" t="s">
        <v>738</v>
      </c>
      <c r="E21" s="478" t="s">
        <v>739</v>
      </c>
      <c r="F21" s="478" t="s">
        <v>740</v>
      </c>
      <c r="G21" s="478" t="s">
        <v>741</v>
      </c>
    </row>
    <row r="22" spans="1:7" ht="87" x14ac:dyDescent="0.3">
      <c r="A22" s="483">
        <v>14</v>
      </c>
      <c r="B22" s="798"/>
      <c r="C22" s="477" t="s">
        <v>742</v>
      </c>
      <c r="D22" s="478" t="s">
        <v>743</v>
      </c>
      <c r="E22" s="478" t="s">
        <v>971</v>
      </c>
      <c r="F22" s="478" t="s">
        <v>745</v>
      </c>
      <c r="G22" s="478" t="s">
        <v>972</v>
      </c>
    </row>
    <row r="23" spans="1:7" ht="145" x14ac:dyDescent="0.3">
      <c r="A23" s="483">
        <v>15</v>
      </c>
      <c r="B23" s="798"/>
      <c r="C23" s="477" t="s">
        <v>746</v>
      </c>
      <c r="D23" s="478" t="s">
        <v>973</v>
      </c>
      <c r="E23" s="478" t="s">
        <v>747</v>
      </c>
      <c r="F23" s="478" t="s">
        <v>748</v>
      </c>
      <c r="G23" s="478" t="s">
        <v>749</v>
      </c>
    </row>
    <row r="24" spans="1:7" ht="101.5" x14ac:dyDescent="0.3">
      <c r="A24" s="483">
        <v>16</v>
      </c>
      <c r="B24" s="798"/>
      <c r="C24" s="477" t="s">
        <v>750</v>
      </c>
      <c r="D24" s="478" t="s">
        <v>974</v>
      </c>
      <c r="E24" s="478" t="s">
        <v>744</v>
      </c>
      <c r="F24" s="478" t="s">
        <v>751</v>
      </c>
      <c r="G24" s="478" t="s">
        <v>752</v>
      </c>
    </row>
    <row r="25" spans="1:7" ht="43.5" x14ac:dyDescent="0.3">
      <c r="A25" s="483">
        <v>17</v>
      </c>
      <c r="B25" s="798"/>
      <c r="C25" s="806" t="s">
        <v>753</v>
      </c>
      <c r="D25" s="478" t="s">
        <v>754</v>
      </c>
      <c r="E25" s="478" t="s">
        <v>755</v>
      </c>
      <c r="F25" s="478" t="s">
        <v>756</v>
      </c>
      <c r="G25" s="478"/>
    </row>
    <row r="26" spans="1:7" ht="58" x14ac:dyDescent="0.3">
      <c r="A26" s="483">
        <v>18</v>
      </c>
      <c r="B26" s="798"/>
      <c r="C26" s="807"/>
      <c r="D26" s="478" t="s">
        <v>757</v>
      </c>
      <c r="E26" s="478" t="s">
        <v>758</v>
      </c>
      <c r="F26" s="478" t="s">
        <v>759</v>
      </c>
      <c r="G26" s="478"/>
    </row>
    <row r="27" spans="1:7" ht="116" x14ac:dyDescent="0.3">
      <c r="A27" s="483">
        <v>19</v>
      </c>
      <c r="B27" s="798"/>
      <c r="C27" s="477" t="s">
        <v>760</v>
      </c>
      <c r="D27" s="478" t="s">
        <v>975</v>
      </c>
      <c r="E27" s="478" t="s">
        <v>761</v>
      </c>
      <c r="F27" s="478" t="s">
        <v>762</v>
      </c>
      <c r="G27" s="478" t="s">
        <v>763</v>
      </c>
    </row>
    <row r="28" spans="1:7" ht="29" x14ac:dyDescent="0.3">
      <c r="A28" s="483">
        <v>20</v>
      </c>
      <c r="B28" s="484" t="s">
        <v>764</v>
      </c>
      <c r="C28" s="477" t="s">
        <v>765</v>
      </c>
      <c r="D28" s="478" t="s">
        <v>766</v>
      </c>
      <c r="E28" s="478"/>
      <c r="F28" s="478" t="s">
        <v>767</v>
      </c>
      <c r="G28" s="478"/>
    </row>
    <row r="29" spans="1:7" ht="43.5" x14ac:dyDescent="0.3">
      <c r="A29" s="483">
        <v>21</v>
      </c>
      <c r="B29" s="484" t="s">
        <v>463</v>
      </c>
      <c r="C29" s="477" t="s">
        <v>768</v>
      </c>
      <c r="D29" s="478" t="s">
        <v>769</v>
      </c>
      <c r="E29" s="478"/>
      <c r="F29" s="478" t="s">
        <v>770</v>
      </c>
      <c r="G29" s="478"/>
    </row>
    <row r="30" spans="1:7" ht="72.5" x14ac:dyDescent="0.3">
      <c r="A30" s="483">
        <v>22</v>
      </c>
      <c r="B30" s="798" t="s">
        <v>465</v>
      </c>
      <c r="C30" s="806" t="s">
        <v>771</v>
      </c>
      <c r="D30" s="478" t="s">
        <v>976</v>
      </c>
      <c r="E30" s="479"/>
      <c r="F30" s="478" t="s">
        <v>772</v>
      </c>
      <c r="G30" s="479"/>
    </row>
    <row r="31" spans="1:7" ht="43.5" x14ac:dyDescent="0.3">
      <c r="A31" s="483">
        <v>23</v>
      </c>
      <c r="B31" s="798"/>
      <c r="C31" s="807"/>
      <c r="D31" s="478" t="s">
        <v>773</v>
      </c>
      <c r="E31" s="478"/>
      <c r="F31" s="478" t="s">
        <v>774</v>
      </c>
      <c r="G31" s="478" t="s">
        <v>775</v>
      </c>
    </row>
    <row r="32" spans="1:7" ht="43.5" x14ac:dyDescent="0.3">
      <c r="A32" s="483">
        <v>24</v>
      </c>
      <c r="B32" s="798"/>
      <c r="C32" s="477" t="s">
        <v>776</v>
      </c>
      <c r="D32" s="478" t="s">
        <v>777</v>
      </c>
      <c r="E32" s="478" t="s">
        <v>702</v>
      </c>
      <c r="F32" s="478" t="s">
        <v>778</v>
      </c>
      <c r="G32" s="478"/>
    </row>
    <row r="33" spans="1:7" ht="14.5" x14ac:dyDescent="0.3">
      <c r="A33" s="483">
        <v>25</v>
      </c>
      <c r="B33" s="798" t="s">
        <v>779</v>
      </c>
      <c r="C33" s="806" t="s">
        <v>780</v>
      </c>
      <c r="D33" s="478" t="s">
        <v>781</v>
      </c>
      <c r="E33" s="478" t="s">
        <v>782</v>
      </c>
      <c r="F33" s="478" t="s">
        <v>783</v>
      </c>
      <c r="G33" s="478"/>
    </row>
    <row r="34" spans="1:7" ht="72.5" x14ac:dyDescent="0.3">
      <c r="A34" s="483">
        <v>26</v>
      </c>
      <c r="B34" s="798"/>
      <c r="C34" s="808"/>
      <c r="D34" s="478" t="s">
        <v>784</v>
      </c>
      <c r="E34" s="478" t="s">
        <v>785</v>
      </c>
      <c r="F34" s="478" t="s">
        <v>786</v>
      </c>
      <c r="G34" s="478"/>
    </row>
    <row r="35" spans="1:7" ht="29" x14ac:dyDescent="0.3">
      <c r="A35" s="483">
        <v>27</v>
      </c>
      <c r="B35" s="798"/>
      <c r="C35" s="807"/>
      <c r="D35" s="478" t="s">
        <v>977</v>
      </c>
      <c r="E35" s="478" t="s">
        <v>785</v>
      </c>
      <c r="F35" s="478" t="s">
        <v>787</v>
      </c>
      <c r="G35" s="478"/>
    </row>
    <row r="36" spans="1:7" ht="29" x14ac:dyDescent="0.3">
      <c r="A36" s="483">
        <v>28</v>
      </c>
      <c r="B36" s="798"/>
      <c r="C36" s="477" t="s">
        <v>788</v>
      </c>
      <c r="D36" s="478" t="s">
        <v>789</v>
      </c>
      <c r="E36" s="478" t="s">
        <v>785</v>
      </c>
      <c r="F36" s="478" t="s">
        <v>790</v>
      </c>
      <c r="G36" s="478"/>
    </row>
    <row r="37" spans="1:7" ht="43.5" x14ac:dyDescent="0.3">
      <c r="A37" s="483">
        <v>29</v>
      </c>
      <c r="B37" s="798" t="s">
        <v>970</v>
      </c>
      <c r="C37" s="477" t="s">
        <v>791</v>
      </c>
      <c r="D37" s="478" t="s">
        <v>792</v>
      </c>
      <c r="E37" s="478" t="s">
        <v>793</v>
      </c>
      <c r="F37" s="478" t="s">
        <v>794</v>
      </c>
      <c r="G37" s="478" t="s">
        <v>729</v>
      </c>
    </row>
    <row r="38" spans="1:7" ht="43.5" x14ac:dyDescent="0.3">
      <c r="A38" s="483">
        <v>30</v>
      </c>
      <c r="B38" s="798"/>
      <c r="C38" s="477" t="s">
        <v>795</v>
      </c>
      <c r="D38" s="478" t="s">
        <v>796</v>
      </c>
      <c r="E38" s="478" t="s">
        <v>797</v>
      </c>
      <c r="F38" s="478" t="s">
        <v>798</v>
      </c>
      <c r="G38" s="478" t="s">
        <v>799</v>
      </c>
    </row>
    <row r="39" spans="1:7" ht="29" x14ac:dyDescent="0.3">
      <c r="A39" s="483">
        <v>31</v>
      </c>
      <c r="B39" s="798"/>
      <c r="C39" s="477" t="s">
        <v>800</v>
      </c>
      <c r="D39" s="478" t="s">
        <v>801</v>
      </c>
      <c r="E39" s="478" t="s">
        <v>716</v>
      </c>
      <c r="F39" s="478" t="s">
        <v>802</v>
      </c>
      <c r="G39" s="478"/>
    </row>
    <row r="40" spans="1:7" ht="43.5" x14ac:dyDescent="0.3">
      <c r="A40" s="483">
        <v>32</v>
      </c>
      <c r="B40" s="484" t="s">
        <v>803</v>
      </c>
      <c r="C40" s="477" t="s">
        <v>804</v>
      </c>
      <c r="D40" s="478" t="s">
        <v>805</v>
      </c>
      <c r="E40" s="478" t="s">
        <v>806</v>
      </c>
      <c r="F40" s="478" t="s">
        <v>807</v>
      </c>
      <c r="G40" s="478" t="s">
        <v>808</v>
      </c>
    </row>
    <row r="42" spans="1:7" ht="14.5" x14ac:dyDescent="0.3">
      <c r="A42" s="30" t="s">
        <v>809</v>
      </c>
    </row>
    <row r="43" spans="1:7" ht="14.5" x14ac:dyDescent="0.3">
      <c r="A43" s="471"/>
      <c r="B43" s="465" t="s">
        <v>443</v>
      </c>
      <c r="C43" s="465" t="s">
        <v>444</v>
      </c>
      <c r="D43" s="803" t="s">
        <v>445</v>
      </c>
      <c r="E43" s="803"/>
      <c r="F43" s="803"/>
      <c r="G43" s="803"/>
    </row>
    <row r="44" spans="1:7" ht="14.5" x14ac:dyDescent="0.3">
      <c r="A44" s="483">
        <v>1</v>
      </c>
      <c r="B44" s="485" t="s">
        <v>452</v>
      </c>
      <c r="C44" s="453" t="s">
        <v>810</v>
      </c>
      <c r="D44" s="792" t="s">
        <v>811</v>
      </c>
      <c r="E44" s="792"/>
      <c r="F44" s="792"/>
      <c r="G44" s="792"/>
    </row>
    <row r="45" spans="1:7" ht="14.5" x14ac:dyDescent="0.3">
      <c r="A45" s="483">
        <v>2</v>
      </c>
      <c r="B45" s="795" t="s">
        <v>457</v>
      </c>
      <c r="C45" s="453" t="s">
        <v>812</v>
      </c>
      <c r="D45" s="792" t="s">
        <v>813</v>
      </c>
      <c r="E45" s="792"/>
      <c r="F45" s="792"/>
      <c r="G45" s="792"/>
    </row>
    <row r="46" spans="1:7" ht="29.15" customHeight="1" x14ac:dyDescent="0.3">
      <c r="A46" s="483">
        <v>3</v>
      </c>
      <c r="B46" s="796"/>
      <c r="C46" s="453" t="s">
        <v>814</v>
      </c>
      <c r="D46" s="792" t="s">
        <v>815</v>
      </c>
      <c r="E46" s="792"/>
      <c r="F46" s="792"/>
      <c r="G46" s="792"/>
    </row>
    <row r="47" spans="1:7" ht="29" x14ac:dyDescent="0.3">
      <c r="A47" s="483">
        <v>4</v>
      </c>
      <c r="B47" s="485" t="s">
        <v>465</v>
      </c>
      <c r="C47" s="453" t="s">
        <v>816</v>
      </c>
      <c r="D47" s="792" t="s">
        <v>817</v>
      </c>
      <c r="E47" s="792"/>
      <c r="F47" s="792"/>
      <c r="G47" s="792"/>
    </row>
    <row r="48" spans="1:7" ht="60" customHeight="1" x14ac:dyDescent="0.3">
      <c r="A48" s="483">
        <v>5</v>
      </c>
      <c r="B48" s="485" t="s">
        <v>818</v>
      </c>
      <c r="C48" s="453" t="s">
        <v>819</v>
      </c>
      <c r="D48" s="792" t="s">
        <v>820</v>
      </c>
      <c r="E48" s="792"/>
      <c r="F48" s="792"/>
      <c r="G48" s="792"/>
    </row>
    <row r="50" spans="1:7" ht="14.5" x14ac:dyDescent="0.3">
      <c r="A50" s="30" t="s">
        <v>821</v>
      </c>
    </row>
    <row r="51" spans="1:7" ht="14.5" x14ac:dyDescent="0.3">
      <c r="A51" s="452"/>
      <c r="B51" s="465" t="s">
        <v>443</v>
      </c>
      <c r="C51" s="465" t="s">
        <v>444</v>
      </c>
      <c r="D51" s="487" t="s">
        <v>445</v>
      </c>
      <c r="E51" s="488" t="s">
        <v>691</v>
      </c>
      <c r="F51" s="488" t="s">
        <v>446</v>
      </c>
      <c r="G51" s="488" t="s">
        <v>692</v>
      </c>
    </row>
    <row r="52" spans="1:7" ht="72.5" x14ac:dyDescent="0.3">
      <c r="A52" s="463">
        <v>1</v>
      </c>
      <c r="B52" s="485" t="s">
        <v>447</v>
      </c>
      <c r="C52" s="453" t="s">
        <v>693</v>
      </c>
      <c r="D52" s="455" t="s">
        <v>822</v>
      </c>
      <c r="E52" s="455"/>
      <c r="F52" s="455" t="s">
        <v>823</v>
      </c>
      <c r="G52" s="455" t="s">
        <v>978</v>
      </c>
    </row>
    <row r="53" spans="1:7" ht="43.5" x14ac:dyDescent="0.3">
      <c r="A53" s="463">
        <v>2</v>
      </c>
      <c r="B53" s="795" t="s">
        <v>824</v>
      </c>
      <c r="C53" s="453" t="s">
        <v>825</v>
      </c>
      <c r="D53" s="455" t="s">
        <v>979</v>
      </c>
      <c r="E53" s="455" t="s">
        <v>826</v>
      </c>
      <c r="F53" s="455" t="s">
        <v>827</v>
      </c>
      <c r="G53" s="455"/>
    </row>
    <row r="54" spans="1:7" ht="58" x14ac:dyDescent="0.3">
      <c r="A54" s="463">
        <v>3</v>
      </c>
      <c r="B54" s="797"/>
      <c r="C54" s="453" t="s">
        <v>828</v>
      </c>
      <c r="D54" s="455" t="s">
        <v>829</v>
      </c>
      <c r="E54" s="455" t="s">
        <v>830</v>
      </c>
      <c r="F54" s="455" t="s">
        <v>831</v>
      </c>
      <c r="G54" s="455"/>
    </row>
    <row r="55" spans="1:7" ht="43.5" x14ac:dyDescent="0.3">
      <c r="A55" s="463">
        <v>4</v>
      </c>
      <c r="B55" s="796"/>
      <c r="C55" s="453" t="s">
        <v>832</v>
      </c>
      <c r="D55" s="455" t="s">
        <v>833</v>
      </c>
      <c r="E55" s="455" t="s">
        <v>834</v>
      </c>
      <c r="F55" s="455" t="s">
        <v>835</v>
      </c>
      <c r="G55" s="489"/>
    </row>
    <row r="56" spans="1:7" ht="29" x14ac:dyDescent="0.3">
      <c r="A56" s="463">
        <v>5</v>
      </c>
      <c r="B56" s="485" t="s">
        <v>836</v>
      </c>
      <c r="C56" s="453" t="s">
        <v>837</v>
      </c>
      <c r="D56" s="455" t="s">
        <v>838</v>
      </c>
      <c r="E56" s="455" t="s">
        <v>839</v>
      </c>
      <c r="F56" s="455" t="s">
        <v>840</v>
      </c>
      <c r="G56" s="455"/>
    </row>
    <row r="57" spans="1:7" ht="87" x14ac:dyDescent="0.3">
      <c r="A57" s="463">
        <v>6</v>
      </c>
      <c r="B57" s="795" t="s">
        <v>841</v>
      </c>
      <c r="C57" s="453" t="s">
        <v>842</v>
      </c>
      <c r="D57" s="455" t="s">
        <v>980</v>
      </c>
      <c r="E57" s="455" t="s">
        <v>834</v>
      </c>
      <c r="F57" s="455" t="s">
        <v>835</v>
      </c>
      <c r="G57" s="455"/>
    </row>
    <row r="58" spans="1:7" ht="43.5" x14ac:dyDescent="0.3">
      <c r="A58" s="463">
        <v>7</v>
      </c>
      <c r="B58" s="797"/>
      <c r="C58" s="453" t="s">
        <v>843</v>
      </c>
      <c r="D58" s="455" t="s">
        <v>844</v>
      </c>
      <c r="E58" s="455" t="s">
        <v>845</v>
      </c>
      <c r="F58" s="455" t="s">
        <v>835</v>
      </c>
      <c r="G58" s="455"/>
    </row>
    <row r="59" spans="1:7" ht="43.5" x14ac:dyDescent="0.3">
      <c r="A59" s="463">
        <v>8</v>
      </c>
      <c r="B59" s="797"/>
      <c r="C59" s="453" t="s">
        <v>846</v>
      </c>
      <c r="D59" s="455" t="s">
        <v>981</v>
      </c>
      <c r="E59" s="455" t="s">
        <v>826</v>
      </c>
      <c r="F59" s="455" t="s">
        <v>847</v>
      </c>
      <c r="G59" s="455"/>
    </row>
    <row r="60" spans="1:7" ht="29" x14ac:dyDescent="0.3">
      <c r="A60" s="463">
        <v>9</v>
      </c>
      <c r="B60" s="797"/>
      <c r="C60" s="453" t="s">
        <v>848</v>
      </c>
      <c r="D60" s="455" t="s">
        <v>849</v>
      </c>
      <c r="E60" s="455" t="s">
        <v>845</v>
      </c>
      <c r="F60" s="455" t="s">
        <v>835</v>
      </c>
      <c r="G60" s="455"/>
    </row>
    <row r="61" spans="1:7" ht="130.5" x14ac:dyDescent="0.3">
      <c r="A61" s="463">
        <v>10</v>
      </c>
      <c r="B61" s="797"/>
      <c r="C61" s="453" t="s">
        <v>850</v>
      </c>
      <c r="D61" s="455" t="s">
        <v>851</v>
      </c>
      <c r="E61" s="455" t="s">
        <v>852</v>
      </c>
      <c r="F61" s="455" t="s">
        <v>853</v>
      </c>
      <c r="G61" s="455" t="s">
        <v>854</v>
      </c>
    </row>
    <row r="62" spans="1:7" ht="87" x14ac:dyDescent="0.3">
      <c r="A62" s="463">
        <v>11</v>
      </c>
      <c r="B62" s="797"/>
      <c r="C62" s="453" t="s">
        <v>855</v>
      </c>
      <c r="D62" s="455" t="s">
        <v>856</v>
      </c>
      <c r="E62" s="455" t="s">
        <v>857</v>
      </c>
      <c r="F62" s="455" t="s">
        <v>840</v>
      </c>
      <c r="G62" s="455" t="s">
        <v>858</v>
      </c>
    </row>
    <row r="63" spans="1:7" ht="43.5" x14ac:dyDescent="0.3">
      <c r="A63" s="463">
        <v>12</v>
      </c>
      <c r="B63" s="797"/>
      <c r="C63" s="453" t="s">
        <v>859</v>
      </c>
      <c r="D63" s="455" t="s">
        <v>860</v>
      </c>
      <c r="E63" s="455" t="s">
        <v>861</v>
      </c>
      <c r="F63" s="455" t="s">
        <v>862</v>
      </c>
      <c r="G63" s="455"/>
    </row>
    <row r="64" spans="1:7" ht="43.5" x14ac:dyDescent="0.3">
      <c r="A64" s="463">
        <v>13</v>
      </c>
      <c r="B64" s="797"/>
      <c r="C64" s="453" t="s">
        <v>863</v>
      </c>
      <c r="D64" s="455" t="s">
        <v>864</v>
      </c>
      <c r="E64" s="455" t="s">
        <v>845</v>
      </c>
      <c r="F64" s="455" t="s">
        <v>865</v>
      </c>
      <c r="G64" s="455" t="s">
        <v>866</v>
      </c>
    </row>
    <row r="65" spans="1:7" ht="43.5" x14ac:dyDescent="0.3">
      <c r="A65" s="463">
        <v>14</v>
      </c>
      <c r="B65" s="797"/>
      <c r="C65" s="453" t="s">
        <v>867</v>
      </c>
      <c r="D65" s="455" t="s">
        <v>868</v>
      </c>
      <c r="E65" s="455" t="s">
        <v>869</v>
      </c>
      <c r="F65" s="455" t="s">
        <v>870</v>
      </c>
      <c r="G65" s="455" t="s">
        <v>871</v>
      </c>
    </row>
    <row r="66" spans="1:7" ht="87" x14ac:dyDescent="0.3">
      <c r="A66" s="809">
        <v>15</v>
      </c>
      <c r="B66" s="797"/>
      <c r="C66" s="799" t="s">
        <v>872</v>
      </c>
      <c r="D66" s="792" t="s">
        <v>873</v>
      </c>
      <c r="E66" s="455" t="s">
        <v>874</v>
      </c>
      <c r="F66" s="455" t="s">
        <v>875</v>
      </c>
      <c r="G66" s="455" t="s">
        <v>876</v>
      </c>
    </row>
    <row r="67" spans="1:7" ht="14.5" x14ac:dyDescent="0.3">
      <c r="A67" s="810"/>
      <c r="B67" s="797"/>
      <c r="C67" s="799"/>
      <c r="D67" s="792"/>
      <c r="E67" s="455" t="s">
        <v>877</v>
      </c>
      <c r="F67" s="455" t="s">
        <v>840</v>
      </c>
      <c r="G67" s="455"/>
    </row>
    <row r="68" spans="1:7" ht="43.5" x14ac:dyDescent="0.3">
      <c r="A68" s="463">
        <v>16</v>
      </c>
      <c r="B68" s="797"/>
      <c r="C68" s="453" t="s">
        <v>878</v>
      </c>
      <c r="D68" s="455" t="s">
        <v>879</v>
      </c>
      <c r="E68" s="455" t="s">
        <v>880</v>
      </c>
      <c r="F68" s="455" t="s">
        <v>840</v>
      </c>
      <c r="G68" s="455" t="s">
        <v>729</v>
      </c>
    </row>
    <row r="69" spans="1:7" ht="87" x14ac:dyDescent="0.3">
      <c r="A69" s="463">
        <v>17</v>
      </c>
      <c r="B69" s="796"/>
      <c r="C69" s="453" t="s">
        <v>881</v>
      </c>
      <c r="D69" s="455" t="s">
        <v>882</v>
      </c>
      <c r="E69" s="455" t="s">
        <v>883</v>
      </c>
      <c r="F69" s="455" t="s">
        <v>840</v>
      </c>
      <c r="G69" s="455" t="s">
        <v>858</v>
      </c>
    </row>
    <row r="70" spans="1:7" ht="43.5" x14ac:dyDescent="0.3">
      <c r="A70" s="463">
        <v>18</v>
      </c>
      <c r="B70" s="795" t="s">
        <v>885</v>
      </c>
      <c r="C70" s="453" t="s">
        <v>886</v>
      </c>
      <c r="D70" s="455" t="s">
        <v>887</v>
      </c>
      <c r="E70" s="455"/>
      <c r="F70" s="455" t="s">
        <v>888</v>
      </c>
      <c r="G70" s="455"/>
    </row>
    <row r="71" spans="1:7" ht="29" x14ac:dyDescent="0.3">
      <c r="A71" s="463">
        <v>19</v>
      </c>
      <c r="B71" s="796"/>
      <c r="C71" s="453" t="s">
        <v>889</v>
      </c>
      <c r="D71" s="455" t="s">
        <v>890</v>
      </c>
      <c r="E71" s="455" t="s">
        <v>891</v>
      </c>
      <c r="F71" s="455" t="s">
        <v>840</v>
      </c>
      <c r="G71" s="455"/>
    </row>
    <row r="72" spans="1:7" ht="145" x14ac:dyDescent="0.3">
      <c r="A72" s="463">
        <v>20</v>
      </c>
      <c r="B72" s="795" t="s">
        <v>892</v>
      </c>
      <c r="C72" s="453" t="s">
        <v>893</v>
      </c>
      <c r="D72" s="455" t="s">
        <v>894</v>
      </c>
      <c r="E72" s="455" t="s">
        <v>899</v>
      </c>
      <c r="F72" s="455" t="s">
        <v>835</v>
      </c>
      <c r="G72" s="455" t="s">
        <v>895</v>
      </c>
    </row>
    <row r="73" spans="1:7" ht="43.5" x14ac:dyDescent="0.3">
      <c r="A73" s="463">
        <v>21</v>
      </c>
      <c r="B73" s="796"/>
      <c r="C73" s="453" t="s">
        <v>896</v>
      </c>
      <c r="D73" s="455" t="s">
        <v>897</v>
      </c>
      <c r="E73" s="455" t="s">
        <v>898</v>
      </c>
      <c r="F73" s="455" t="s">
        <v>835</v>
      </c>
      <c r="G73" s="455"/>
    </row>
    <row r="75" spans="1:7" ht="14.5" x14ac:dyDescent="0.3">
      <c r="A75" s="30" t="s">
        <v>884</v>
      </c>
    </row>
    <row r="76" spans="1:7" ht="14.5" x14ac:dyDescent="0.3">
      <c r="A76" s="452"/>
      <c r="B76" s="465" t="s">
        <v>443</v>
      </c>
      <c r="C76" s="465" t="s">
        <v>444</v>
      </c>
      <c r="D76" s="487" t="s">
        <v>445</v>
      </c>
      <c r="E76" s="488" t="s">
        <v>691</v>
      </c>
      <c r="F76" s="488" t="s">
        <v>446</v>
      </c>
      <c r="G76" s="488" t="s">
        <v>692</v>
      </c>
    </row>
    <row r="77" spans="1:7" ht="43.5" x14ac:dyDescent="0.3">
      <c r="A77" s="463">
        <v>1</v>
      </c>
      <c r="B77" s="485" t="s">
        <v>447</v>
      </c>
      <c r="C77" s="453" t="s">
        <v>693</v>
      </c>
      <c r="D77" s="455" t="s">
        <v>900</v>
      </c>
      <c r="E77" s="455"/>
      <c r="F77" s="455" t="s">
        <v>823</v>
      </c>
      <c r="G77" s="455"/>
    </row>
    <row r="78" spans="1:7" ht="43.5" x14ac:dyDescent="0.3">
      <c r="A78" s="463">
        <v>2</v>
      </c>
      <c r="B78" s="485" t="s">
        <v>901</v>
      </c>
      <c r="C78" s="453" t="s">
        <v>902</v>
      </c>
      <c r="D78" s="455" t="s">
        <v>903</v>
      </c>
      <c r="E78" s="455" t="s">
        <v>904</v>
      </c>
      <c r="F78" s="455" t="s">
        <v>905</v>
      </c>
      <c r="G78" s="455"/>
    </row>
    <row r="79" spans="1:7" ht="43.5" x14ac:dyDescent="0.3">
      <c r="A79" s="463">
        <v>3</v>
      </c>
      <c r="B79" s="485" t="s">
        <v>906</v>
      </c>
      <c r="C79" s="453" t="s">
        <v>907</v>
      </c>
      <c r="D79" s="455" t="s">
        <v>908</v>
      </c>
      <c r="E79" s="455" t="s">
        <v>826</v>
      </c>
      <c r="F79" s="455" t="s">
        <v>835</v>
      </c>
      <c r="G79" s="455"/>
    </row>
    <row r="80" spans="1:7" ht="29" x14ac:dyDescent="0.3">
      <c r="A80" s="463">
        <v>4</v>
      </c>
      <c r="B80" s="485" t="s">
        <v>909</v>
      </c>
      <c r="C80" s="453" t="s">
        <v>765</v>
      </c>
      <c r="D80" s="455" t="s">
        <v>910</v>
      </c>
      <c r="E80" s="455"/>
      <c r="F80" s="455" t="s">
        <v>911</v>
      </c>
      <c r="G80" s="455"/>
    </row>
    <row r="81" spans="1:9" ht="43.5" x14ac:dyDescent="0.3">
      <c r="A81" s="463">
        <v>5</v>
      </c>
      <c r="B81" s="485" t="s">
        <v>912</v>
      </c>
      <c r="C81" s="453" t="s">
        <v>913</v>
      </c>
      <c r="D81" s="455" t="s">
        <v>914</v>
      </c>
      <c r="E81" s="455" t="s">
        <v>915</v>
      </c>
      <c r="F81" s="455" t="s">
        <v>840</v>
      </c>
      <c r="G81" s="455"/>
    </row>
    <row r="82" spans="1:9" ht="43.5" x14ac:dyDescent="0.3">
      <c r="A82" s="463">
        <v>6</v>
      </c>
      <c r="B82" s="795" t="s">
        <v>916</v>
      </c>
      <c r="C82" s="453" t="s">
        <v>886</v>
      </c>
      <c r="D82" s="455" t="s">
        <v>917</v>
      </c>
      <c r="E82" s="455"/>
      <c r="F82" s="455" t="s">
        <v>918</v>
      </c>
      <c r="G82" s="455"/>
    </row>
    <row r="83" spans="1:9" ht="43.5" x14ac:dyDescent="0.3">
      <c r="A83" s="463">
        <v>7</v>
      </c>
      <c r="B83" s="797"/>
      <c r="C83" s="453" t="s">
        <v>919</v>
      </c>
      <c r="D83" s="455" t="s">
        <v>920</v>
      </c>
      <c r="E83" s="455"/>
      <c r="F83" s="455" t="s">
        <v>840</v>
      </c>
      <c r="G83" s="455"/>
    </row>
    <row r="84" spans="1:9" ht="58" x14ac:dyDescent="0.3">
      <c r="A84" s="463">
        <v>8</v>
      </c>
      <c r="B84" s="797"/>
      <c r="C84" s="453" t="s">
        <v>921</v>
      </c>
      <c r="D84" s="455" t="s">
        <v>922</v>
      </c>
      <c r="E84" s="455" t="s">
        <v>923</v>
      </c>
      <c r="F84" s="455" t="s">
        <v>924</v>
      </c>
      <c r="G84" s="455" t="s">
        <v>925</v>
      </c>
    </row>
    <row r="85" spans="1:9" ht="87" x14ac:dyDescent="0.3">
      <c r="A85" s="464" t="s">
        <v>926</v>
      </c>
      <c r="B85" s="796"/>
      <c r="C85" s="453" t="s">
        <v>927</v>
      </c>
      <c r="D85" s="455" t="s">
        <v>928</v>
      </c>
      <c r="E85" s="455" t="s">
        <v>929</v>
      </c>
      <c r="F85" s="455" t="s">
        <v>930</v>
      </c>
      <c r="G85" s="455" t="s">
        <v>931</v>
      </c>
    </row>
    <row r="86" spans="1:9" ht="29" x14ac:dyDescent="0.3">
      <c r="A86" s="463">
        <v>9</v>
      </c>
      <c r="B86" s="485" t="s">
        <v>932</v>
      </c>
      <c r="C86" s="453" t="s">
        <v>933</v>
      </c>
      <c r="D86" s="455" t="s">
        <v>934</v>
      </c>
      <c r="E86" s="455" t="s">
        <v>935</v>
      </c>
      <c r="F86" s="455" t="s">
        <v>840</v>
      </c>
      <c r="G86" s="455"/>
    </row>
    <row r="87" spans="1:9" ht="43.5" x14ac:dyDescent="0.3">
      <c r="A87" s="463">
        <v>10</v>
      </c>
      <c r="B87" s="485" t="s">
        <v>936</v>
      </c>
      <c r="C87" s="453" t="s">
        <v>937</v>
      </c>
      <c r="D87" s="455" t="s">
        <v>938</v>
      </c>
      <c r="E87" s="455" t="s">
        <v>939</v>
      </c>
      <c r="F87" s="455" t="s">
        <v>840</v>
      </c>
      <c r="G87" s="455"/>
    </row>
    <row r="88" spans="1:9" x14ac:dyDescent="0.3">
      <c r="A88" s="490"/>
      <c r="B88" s="490"/>
      <c r="C88" s="490"/>
      <c r="D88" s="490"/>
      <c r="E88" s="490"/>
      <c r="F88" s="490"/>
      <c r="G88" s="490"/>
    </row>
    <row r="89" spans="1:9" ht="14.5" x14ac:dyDescent="0.3">
      <c r="A89" s="30" t="s">
        <v>940</v>
      </c>
    </row>
    <row r="90" spans="1:9" ht="14.15" customHeight="1" x14ac:dyDescent="0.3">
      <c r="A90" s="447"/>
      <c r="B90" s="800" t="s">
        <v>444</v>
      </c>
      <c r="C90" s="801" t="s">
        <v>941</v>
      </c>
      <c r="D90" s="492"/>
      <c r="E90" s="804" t="s">
        <v>942</v>
      </c>
      <c r="F90" s="804"/>
      <c r="G90" s="804"/>
      <c r="H90" s="805"/>
      <c r="I90" s="492"/>
    </row>
    <row r="91" spans="1:9" ht="14.5" x14ac:dyDescent="0.3">
      <c r="A91" s="447"/>
      <c r="B91" s="800"/>
      <c r="C91" s="802"/>
      <c r="D91" s="494" t="s">
        <v>446</v>
      </c>
      <c r="E91" s="804"/>
      <c r="F91" s="804"/>
      <c r="G91" s="804"/>
      <c r="H91" s="805"/>
      <c r="I91" s="494" t="s">
        <v>446</v>
      </c>
    </row>
    <row r="92" spans="1:9" ht="14.5" x14ac:dyDescent="0.3">
      <c r="A92" s="486">
        <v>1</v>
      </c>
      <c r="B92" s="485" t="s">
        <v>943</v>
      </c>
      <c r="C92" s="491" t="s">
        <v>944</v>
      </c>
      <c r="D92" s="493"/>
      <c r="E92" s="793" t="s">
        <v>945</v>
      </c>
      <c r="F92" s="794"/>
      <c r="G92" s="794"/>
      <c r="H92" s="794"/>
      <c r="I92" s="493"/>
    </row>
    <row r="93" spans="1:9" ht="101.5" customHeight="1" x14ac:dyDescent="0.3">
      <c r="A93" s="486">
        <v>2</v>
      </c>
      <c r="B93" s="485" t="s">
        <v>946</v>
      </c>
      <c r="C93" s="491" t="s">
        <v>947</v>
      </c>
      <c r="D93" s="493" t="s">
        <v>948</v>
      </c>
      <c r="E93" s="792" t="s">
        <v>949</v>
      </c>
      <c r="F93" s="792"/>
      <c r="G93" s="792"/>
      <c r="H93" s="793"/>
      <c r="I93" s="493" t="s">
        <v>950</v>
      </c>
    </row>
    <row r="94" spans="1:9" ht="58" x14ac:dyDescent="0.3">
      <c r="A94" s="486">
        <v>3</v>
      </c>
      <c r="B94" s="464" t="s">
        <v>951</v>
      </c>
      <c r="C94" s="491" t="s">
        <v>952</v>
      </c>
      <c r="D94" s="493" t="s">
        <v>953</v>
      </c>
      <c r="E94" s="792" t="s">
        <v>954</v>
      </c>
      <c r="F94" s="792"/>
      <c r="G94" s="792"/>
      <c r="H94" s="793"/>
      <c r="I94" s="493" t="s">
        <v>955</v>
      </c>
    </row>
    <row r="95" spans="1:9" ht="29.15" customHeight="1" x14ac:dyDescent="0.3">
      <c r="A95" s="486">
        <v>4</v>
      </c>
      <c r="B95" s="485" t="s">
        <v>956</v>
      </c>
      <c r="C95" s="491" t="s">
        <v>957</v>
      </c>
      <c r="D95" s="493" t="s">
        <v>958</v>
      </c>
      <c r="E95" s="792" t="s">
        <v>959</v>
      </c>
      <c r="F95" s="792"/>
      <c r="G95" s="792"/>
      <c r="H95" s="793"/>
      <c r="I95" s="493" t="s">
        <v>960</v>
      </c>
    </row>
    <row r="96" spans="1:9" ht="43.5" customHeight="1" x14ac:dyDescent="0.3">
      <c r="A96" s="486">
        <v>5</v>
      </c>
      <c r="B96" s="485" t="s">
        <v>961</v>
      </c>
      <c r="C96" s="491" t="s">
        <v>962</v>
      </c>
      <c r="D96" s="493" t="s">
        <v>963</v>
      </c>
      <c r="E96" s="792" t="s">
        <v>964</v>
      </c>
      <c r="F96" s="792"/>
      <c r="G96" s="792"/>
      <c r="H96" s="793"/>
      <c r="I96" s="493" t="s">
        <v>950</v>
      </c>
    </row>
    <row r="97" spans="1:9" ht="72.5" x14ac:dyDescent="0.3">
      <c r="A97" s="486">
        <v>6</v>
      </c>
      <c r="B97" s="485" t="s">
        <v>965</v>
      </c>
      <c r="C97" s="491" t="s">
        <v>966</v>
      </c>
      <c r="D97" s="493" t="s">
        <v>967</v>
      </c>
      <c r="E97" s="792" t="s">
        <v>968</v>
      </c>
      <c r="F97" s="792"/>
      <c r="G97" s="792"/>
      <c r="H97" s="793"/>
      <c r="I97" s="493" t="s">
        <v>967</v>
      </c>
    </row>
    <row r="98" spans="1:9" ht="139" customHeight="1" x14ac:dyDescent="0.3">
      <c r="B98" s="783" t="s">
        <v>969</v>
      </c>
      <c r="C98" s="783"/>
      <c r="D98" s="783"/>
      <c r="E98" s="783"/>
      <c r="F98" s="783"/>
    </row>
  </sheetData>
  <customSheetViews>
    <customSheetView guid="{501209ED-4B79-4E52-B95E-748E5E77E24F}" scale="87">
      <selection activeCell="B1" sqref="B1"/>
      <pageMargins left="0.59055118110236227" right="0.59055118110236227" top="0.59055118110236227" bottom="0.59055118110236227" header="0.31496062992125984" footer="0.31496062992125984"/>
      <printOptions horizontalCentered="1"/>
      <pageSetup paperSize="9" scale="29" orientation="portrait" r:id="rId1"/>
    </customSheetView>
  </customSheetViews>
  <mergeCells count="35">
    <mergeCell ref="C12:C13"/>
    <mergeCell ref="C25:C26"/>
    <mergeCell ref="C33:C35"/>
    <mergeCell ref="C30:C31"/>
    <mergeCell ref="A66:A67"/>
    <mergeCell ref="B98:F98"/>
    <mergeCell ref="B10:B18"/>
    <mergeCell ref="B19:B20"/>
    <mergeCell ref="B21:B27"/>
    <mergeCell ref="B30:B32"/>
    <mergeCell ref="B33:B36"/>
    <mergeCell ref="B37:B39"/>
    <mergeCell ref="C66:C67"/>
    <mergeCell ref="D66:D67"/>
    <mergeCell ref="B90:B91"/>
    <mergeCell ref="C90:C91"/>
    <mergeCell ref="B82:B85"/>
    <mergeCell ref="D43:G43"/>
    <mergeCell ref="D44:G44"/>
    <mergeCell ref="D45:G45"/>
    <mergeCell ref="E90:H91"/>
    <mergeCell ref="E92:H92"/>
    <mergeCell ref="B45:B46"/>
    <mergeCell ref="B53:B55"/>
    <mergeCell ref="B57:B69"/>
    <mergeCell ref="B70:B71"/>
    <mergeCell ref="B72:B73"/>
    <mergeCell ref="D46:G46"/>
    <mergeCell ref="D47:G47"/>
    <mergeCell ref="D48:G48"/>
    <mergeCell ref="E97:H97"/>
    <mergeCell ref="E96:H96"/>
    <mergeCell ref="E95:H95"/>
    <mergeCell ref="E94:H94"/>
    <mergeCell ref="E93:H93"/>
  </mergeCells>
  <phoneticPr fontId="1"/>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2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87" zoomScaleNormal="87" workbookViewId="0">
      <pane xSplit="1" ySplit="7" topLeftCell="B8" activePane="bottomRight" state="frozen"/>
      <selection pane="topRight" activeCell="B1" sqref="B1"/>
      <selection pane="bottomLeft" activeCell="A8" sqref="A8"/>
      <selection pane="bottomRight"/>
    </sheetView>
  </sheetViews>
  <sheetFormatPr defaultColWidth="8.58203125" defaultRowHeight="14" x14ac:dyDescent="0.3"/>
  <cols>
    <col min="1" max="1" width="30.58203125" style="254" customWidth="1"/>
    <col min="2" max="2" width="55.58203125" style="1" customWidth="1"/>
    <col min="3" max="3" width="30.58203125" style="1" customWidth="1"/>
    <col min="4" max="16384" width="8.58203125" style="1"/>
  </cols>
  <sheetData>
    <row r="1" spans="1:3" ht="14.5" x14ac:dyDescent="0.3">
      <c r="A1" s="432" t="s">
        <v>438</v>
      </c>
    </row>
    <row r="2" spans="1:3" x14ac:dyDescent="0.3">
      <c r="A2" s="437"/>
    </row>
    <row r="3" spans="1:3" s="253" customFormat="1" ht="20.149999999999999" customHeight="1" x14ac:dyDescent="0.55000000000000004">
      <c r="A3" s="252" t="s">
        <v>321</v>
      </c>
    </row>
    <row r="4" spans="1:3" s="253" customFormat="1" ht="20.149999999999999" customHeight="1" x14ac:dyDescent="0.55000000000000004">
      <c r="A4" s="252" t="s">
        <v>982</v>
      </c>
    </row>
    <row r="5" spans="1:3" s="255" customFormat="1" x14ac:dyDescent="0.55000000000000004">
      <c r="A5" s="437"/>
    </row>
    <row r="6" spans="1:3" ht="14.5" x14ac:dyDescent="0.3">
      <c r="A6" s="811" t="s">
        <v>1006</v>
      </c>
      <c r="B6" s="811"/>
    </row>
    <row r="8" spans="1:3" ht="14.5" x14ac:dyDescent="0.3">
      <c r="A8" s="500" t="s">
        <v>983</v>
      </c>
      <c r="B8" s="501" t="s">
        <v>984</v>
      </c>
      <c r="C8" s="502" t="s">
        <v>985</v>
      </c>
    </row>
    <row r="9" spans="1:3" ht="101.5" x14ac:dyDescent="0.3">
      <c r="A9" s="496" t="s">
        <v>986</v>
      </c>
      <c r="B9" s="444" t="s">
        <v>987</v>
      </c>
      <c r="C9" s="438" t="s">
        <v>988</v>
      </c>
    </row>
    <row r="10" spans="1:3" ht="87" x14ac:dyDescent="0.3">
      <c r="A10" s="497" t="s">
        <v>989</v>
      </c>
      <c r="B10" s="446" t="s">
        <v>990</v>
      </c>
      <c r="C10" s="443" t="s">
        <v>1002</v>
      </c>
    </row>
    <row r="11" spans="1:3" ht="116" x14ac:dyDescent="0.3">
      <c r="A11" s="498" t="s">
        <v>991</v>
      </c>
      <c r="B11" s="446" t="s">
        <v>992</v>
      </c>
      <c r="C11" s="443" t="s">
        <v>1003</v>
      </c>
    </row>
    <row r="12" spans="1:3" ht="116" x14ac:dyDescent="0.3">
      <c r="A12" s="497" t="s">
        <v>993</v>
      </c>
      <c r="B12" s="446" t="s">
        <v>994</v>
      </c>
      <c r="C12" s="443" t="s">
        <v>1004</v>
      </c>
    </row>
    <row r="13" spans="1:3" ht="87" x14ac:dyDescent="0.3">
      <c r="A13" s="497" t="s">
        <v>995</v>
      </c>
      <c r="B13" s="446" t="s">
        <v>996</v>
      </c>
      <c r="C13" s="443" t="s">
        <v>997</v>
      </c>
    </row>
    <row r="14" spans="1:3" ht="87" x14ac:dyDescent="0.3">
      <c r="A14" s="497" t="s">
        <v>998</v>
      </c>
      <c r="B14" s="446" t="s">
        <v>999</v>
      </c>
      <c r="C14" s="443" t="s">
        <v>1005</v>
      </c>
    </row>
    <row r="15" spans="1:3" ht="116" x14ac:dyDescent="0.3">
      <c r="A15" s="499" t="s">
        <v>1001</v>
      </c>
      <c r="B15" s="445" t="s">
        <v>1000</v>
      </c>
      <c r="C15" s="439"/>
    </row>
  </sheetData>
  <customSheetViews>
    <customSheetView guid="{501209ED-4B79-4E52-B95E-748E5E77E24F}" scale="87">
      <pane xSplit="1" ySplit="7" topLeftCell="B9" activePane="bottomRight" state="frozen"/>
      <selection pane="bottomRight"/>
      <pageMargins left="0.59055118110236227" right="0.59055118110236227" top="0.59055118110236227" bottom="0.59055118110236227" header="0.31496062992125984" footer="0.31496062992125984"/>
      <printOptions horizontalCentered="1"/>
      <pageSetup paperSize="9" scale="29" orientation="portrait" r:id="rId1"/>
    </customSheetView>
  </customSheetViews>
  <mergeCells count="1">
    <mergeCell ref="A6:B6"/>
  </mergeCells>
  <phoneticPr fontId="1"/>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2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zoomScaleNormal="100" zoomScaleSheetLayoutView="100" workbookViewId="0">
      <pane xSplit="2" ySplit="7" topLeftCell="C8" activePane="bottomRight" state="frozen"/>
      <selection pane="topRight" activeCell="C1" sqref="C1"/>
      <selection pane="bottomLeft" activeCell="A8" sqref="A8"/>
      <selection pane="bottomRight"/>
    </sheetView>
  </sheetViews>
  <sheetFormatPr defaultColWidth="8.58203125" defaultRowHeight="14.5" outlineLevelRow="1" x14ac:dyDescent="0.35"/>
  <cols>
    <col min="1" max="1" width="12.33203125" style="2" bestFit="1" customWidth="1"/>
    <col min="2" max="2" width="22.08203125" style="4" bestFit="1" customWidth="1"/>
    <col min="3" max="4" width="12.33203125" style="1" bestFit="1" customWidth="1"/>
    <col min="5" max="5" width="12.33203125" style="1" customWidth="1"/>
    <col min="6" max="6" width="14.33203125" style="1" bestFit="1" customWidth="1"/>
    <col min="7" max="16384" width="8.58203125" style="1"/>
  </cols>
  <sheetData>
    <row r="1" spans="1:13" x14ac:dyDescent="0.35">
      <c r="A1" s="432" t="s">
        <v>438</v>
      </c>
    </row>
    <row r="3" spans="1:13" s="253" customFormat="1" ht="20.149999999999999" customHeight="1" x14ac:dyDescent="0.55000000000000004">
      <c r="A3" s="252" t="s">
        <v>114</v>
      </c>
    </row>
    <row r="4" spans="1:13" s="253" customFormat="1" ht="20.149999999999999" customHeight="1" x14ac:dyDescent="0.55000000000000004">
      <c r="A4" s="252" t="s">
        <v>1075</v>
      </c>
    </row>
    <row r="5" spans="1:13" s="253" customFormat="1" ht="14.5" customHeight="1" x14ac:dyDescent="0.55000000000000004">
      <c r="A5" s="46"/>
    </row>
    <row r="6" spans="1:13" s="22" customFormat="1" x14ac:dyDescent="0.55000000000000004">
      <c r="A6" s="16" t="s">
        <v>37</v>
      </c>
    </row>
    <row r="7" spans="1:13" s="22" customFormat="1" ht="20.149999999999999" customHeight="1" x14ac:dyDescent="0.55000000000000004">
      <c r="A7" s="30" t="s">
        <v>1108</v>
      </c>
      <c r="B7" s="30"/>
      <c r="C7" s="255"/>
    </row>
    <row r="8" spans="1:13" s="21" customFormat="1" ht="43.5" x14ac:dyDescent="0.55000000000000004">
      <c r="A8" s="21" t="s">
        <v>1011</v>
      </c>
      <c r="C8" s="276" t="s">
        <v>1012</v>
      </c>
      <c r="D8" s="276" t="s">
        <v>1013</v>
      </c>
      <c r="E8" s="276" t="s">
        <v>31</v>
      </c>
      <c r="F8" s="276" t="s">
        <v>1014</v>
      </c>
    </row>
    <row r="9" spans="1:13" s="255" customFormat="1" ht="20.149999999999999" customHeight="1" x14ac:dyDescent="0.55000000000000004">
      <c r="A9" s="21"/>
      <c r="B9" s="517" t="s">
        <v>1127</v>
      </c>
      <c r="C9" s="12">
        <f>SUM(C11:C19)</f>
        <v>648987</v>
      </c>
      <c r="D9" s="11">
        <f>SUM(D11:D19)</f>
        <v>52</v>
      </c>
      <c r="E9" s="11">
        <f>SUM(E11:E19)</f>
        <v>649039</v>
      </c>
      <c r="F9" s="256">
        <f>SUM(F11:F19)</f>
        <v>83</v>
      </c>
      <c r="G9" s="22"/>
      <c r="H9" s="22"/>
      <c r="I9" s="22"/>
      <c r="J9" s="22"/>
      <c r="K9" s="22"/>
      <c r="L9" s="20"/>
      <c r="M9" s="20"/>
    </row>
    <row r="10" spans="1:13" s="255" customFormat="1" ht="20.149999999999999" customHeight="1" x14ac:dyDescent="0.55000000000000004">
      <c r="A10" s="21"/>
      <c r="B10" s="545" t="s">
        <v>1100</v>
      </c>
      <c r="C10" s="12"/>
      <c r="D10" s="11"/>
      <c r="E10" s="11"/>
      <c r="F10" s="256"/>
      <c r="G10" s="22"/>
      <c r="H10" s="22"/>
      <c r="I10" s="22"/>
      <c r="J10" s="22"/>
      <c r="K10" s="22"/>
      <c r="L10" s="20"/>
      <c r="M10" s="20"/>
    </row>
    <row r="11" spans="1:13" s="255" customFormat="1" ht="20.149999999999999" customHeight="1" outlineLevel="1" x14ac:dyDescent="0.55000000000000004">
      <c r="A11" s="34"/>
      <c r="B11" s="544" t="s">
        <v>41</v>
      </c>
      <c r="C11" s="563">
        <v>1683</v>
      </c>
      <c r="D11" s="269">
        <v>2</v>
      </c>
      <c r="E11" s="269">
        <f t="shared" ref="E11:E19" si="0">SUM(C11:D11)</f>
        <v>1685</v>
      </c>
      <c r="F11" s="270">
        <v>0</v>
      </c>
    </row>
    <row r="12" spans="1:13" s="255" customFormat="1" ht="20.149999999999999" customHeight="1" outlineLevel="1" x14ac:dyDescent="0.55000000000000004">
      <c r="A12" s="34"/>
      <c r="B12" s="545" t="s">
        <v>42</v>
      </c>
      <c r="C12" s="564">
        <v>186286</v>
      </c>
      <c r="D12" s="23">
        <v>50</v>
      </c>
      <c r="E12" s="23">
        <f t="shared" si="0"/>
        <v>186336</v>
      </c>
      <c r="F12" s="271">
        <v>69</v>
      </c>
    </row>
    <row r="13" spans="1:13" s="255" customFormat="1" ht="20.149999999999999" customHeight="1" outlineLevel="1" x14ac:dyDescent="0.55000000000000004">
      <c r="A13" s="34"/>
      <c r="B13" s="545" t="s">
        <v>43</v>
      </c>
      <c r="C13" s="564">
        <v>183023</v>
      </c>
      <c r="D13" s="23">
        <v>0</v>
      </c>
      <c r="E13" s="23">
        <f t="shared" si="0"/>
        <v>183023</v>
      </c>
      <c r="F13" s="271">
        <v>13</v>
      </c>
    </row>
    <row r="14" spans="1:13" s="255" customFormat="1" ht="20.149999999999999" customHeight="1" outlineLevel="1" x14ac:dyDescent="0.55000000000000004">
      <c r="A14" s="34"/>
      <c r="B14" s="545" t="s">
        <v>44</v>
      </c>
      <c r="C14" s="564">
        <v>114383</v>
      </c>
      <c r="D14" s="23">
        <v>0</v>
      </c>
      <c r="E14" s="23">
        <f t="shared" si="0"/>
        <v>114383</v>
      </c>
      <c r="F14" s="271">
        <v>1</v>
      </c>
    </row>
    <row r="15" spans="1:13" s="255" customFormat="1" ht="20.149999999999999" customHeight="1" outlineLevel="1" x14ac:dyDescent="0.55000000000000004">
      <c r="A15" s="34"/>
      <c r="B15" s="545" t="s">
        <v>45</v>
      </c>
      <c r="C15" s="564">
        <v>62062</v>
      </c>
      <c r="D15" s="23">
        <v>0</v>
      </c>
      <c r="E15" s="23">
        <f t="shared" si="0"/>
        <v>62062</v>
      </c>
      <c r="F15" s="271">
        <v>0</v>
      </c>
    </row>
    <row r="16" spans="1:13" s="255" customFormat="1" ht="20.149999999999999" customHeight="1" outlineLevel="1" x14ac:dyDescent="0.55000000000000004">
      <c r="A16" s="34"/>
      <c r="B16" s="545" t="s">
        <v>46</v>
      </c>
      <c r="C16" s="564">
        <v>47405</v>
      </c>
      <c r="D16" s="23">
        <v>0</v>
      </c>
      <c r="E16" s="23">
        <f t="shared" si="0"/>
        <v>47405</v>
      </c>
      <c r="F16" s="271">
        <v>0</v>
      </c>
    </row>
    <row r="17" spans="1:13" s="255" customFormat="1" ht="20.149999999999999" customHeight="1" outlineLevel="1" x14ac:dyDescent="0.55000000000000004">
      <c r="A17" s="34"/>
      <c r="B17" s="545" t="s">
        <v>47</v>
      </c>
      <c r="C17" s="564">
        <v>18940</v>
      </c>
      <c r="D17" s="23">
        <v>0</v>
      </c>
      <c r="E17" s="23">
        <f t="shared" si="0"/>
        <v>18940</v>
      </c>
      <c r="F17" s="271">
        <v>0</v>
      </c>
    </row>
    <row r="18" spans="1:13" s="255" customFormat="1" ht="20.149999999999999" customHeight="1" outlineLevel="1" x14ac:dyDescent="0.55000000000000004">
      <c r="A18" s="34"/>
      <c r="B18" s="545" t="s">
        <v>48</v>
      </c>
      <c r="C18" s="564">
        <v>17176</v>
      </c>
      <c r="D18" s="23">
        <v>0</v>
      </c>
      <c r="E18" s="23">
        <f t="shared" si="0"/>
        <v>17176</v>
      </c>
      <c r="F18" s="271">
        <v>0</v>
      </c>
    </row>
    <row r="19" spans="1:13" s="255" customFormat="1" ht="20.149999999999999" customHeight="1" outlineLevel="1" x14ac:dyDescent="0.55000000000000004">
      <c r="A19" s="34"/>
      <c r="B19" s="546" t="s">
        <v>49</v>
      </c>
      <c r="C19" s="537">
        <v>18029</v>
      </c>
      <c r="D19" s="272">
        <v>0</v>
      </c>
      <c r="E19" s="272">
        <f t="shared" si="0"/>
        <v>18029</v>
      </c>
      <c r="F19" s="266">
        <v>0</v>
      </c>
    </row>
    <row r="20" spans="1:13" s="255" customFormat="1" ht="20.149999999999999" customHeight="1" x14ac:dyDescent="0.55000000000000004">
      <c r="A20" s="21"/>
      <c r="B20" s="517" t="s">
        <v>1110</v>
      </c>
      <c r="C20" s="12">
        <f>SUM(C22:C30)</f>
        <v>667139</v>
      </c>
      <c r="D20" s="11">
        <f>SUM(D22:D30)</f>
        <v>21486</v>
      </c>
      <c r="E20" s="11">
        <f>SUM(E22:E30)</f>
        <v>688625</v>
      </c>
      <c r="F20" s="256">
        <f>SUM(F22:F30)</f>
        <v>586</v>
      </c>
      <c r="G20" s="22"/>
      <c r="H20" s="22"/>
      <c r="I20" s="22"/>
      <c r="J20" s="22"/>
      <c r="K20" s="22"/>
      <c r="L20" s="20"/>
      <c r="M20" s="20"/>
    </row>
    <row r="21" spans="1:13" s="255" customFormat="1" ht="20.149999999999999" customHeight="1" x14ac:dyDescent="0.55000000000000004">
      <c r="A21" s="21"/>
      <c r="B21" s="545" t="s">
        <v>1100</v>
      </c>
      <c r="C21" s="12"/>
      <c r="D21" s="11"/>
      <c r="E21" s="11"/>
      <c r="F21" s="256"/>
      <c r="G21" s="22"/>
      <c r="H21" s="22"/>
      <c r="I21" s="22"/>
      <c r="J21" s="22"/>
      <c r="K21" s="22"/>
      <c r="L21" s="20"/>
      <c r="M21" s="20"/>
    </row>
    <row r="22" spans="1:13" s="255" customFormat="1" ht="20.149999999999999" hidden="1" customHeight="1" outlineLevel="1" x14ac:dyDescent="0.55000000000000004">
      <c r="A22" s="34"/>
      <c r="B22" s="544" t="s">
        <v>41</v>
      </c>
      <c r="C22" s="563">
        <v>10188</v>
      </c>
      <c r="D22" s="269">
        <v>16957</v>
      </c>
      <c r="E22" s="269">
        <f t="shared" ref="E22:E30" si="1">SUM(C22:D22)</f>
        <v>27145</v>
      </c>
      <c r="F22" s="270">
        <v>139</v>
      </c>
    </row>
    <row r="23" spans="1:13" s="255" customFormat="1" ht="20.149999999999999" hidden="1" customHeight="1" outlineLevel="1" x14ac:dyDescent="0.55000000000000004">
      <c r="A23" s="34"/>
      <c r="B23" s="545" t="s">
        <v>42</v>
      </c>
      <c r="C23" s="564">
        <v>202928</v>
      </c>
      <c r="D23" s="23">
        <v>4528</v>
      </c>
      <c r="E23" s="23">
        <f t="shared" si="1"/>
        <v>207456</v>
      </c>
      <c r="F23" s="271">
        <v>415</v>
      </c>
    </row>
    <row r="24" spans="1:13" s="255" customFormat="1" ht="20.149999999999999" hidden="1" customHeight="1" outlineLevel="1" x14ac:dyDescent="0.55000000000000004">
      <c r="A24" s="34"/>
      <c r="B24" s="545" t="s">
        <v>43</v>
      </c>
      <c r="C24" s="564">
        <v>184384</v>
      </c>
      <c r="D24" s="23">
        <v>1</v>
      </c>
      <c r="E24" s="23">
        <f t="shared" si="1"/>
        <v>184385</v>
      </c>
      <c r="F24" s="271">
        <v>31</v>
      </c>
    </row>
    <row r="25" spans="1:13" s="255" customFormat="1" ht="20.149999999999999" hidden="1" customHeight="1" outlineLevel="1" x14ac:dyDescent="0.55000000000000004">
      <c r="A25" s="34"/>
      <c r="B25" s="545" t="s">
        <v>44</v>
      </c>
      <c r="C25" s="564">
        <v>112226</v>
      </c>
      <c r="D25" s="23">
        <v>0</v>
      </c>
      <c r="E25" s="23">
        <f t="shared" si="1"/>
        <v>112226</v>
      </c>
      <c r="F25" s="271">
        <v>1</v>
      </c>
    </row>
    <row r="26" spans="1:13" s="255" customFormat="1" ht="20.149999999999999" hidden="1" customHeight="1" outlineLevel="1" x14ac:dyDescent="0.55000000000000004">
      <c r="A26" s="34"/>
      <c r="B26" s="545" t="s">
        <v>45</v>
      </c>
      <c r="C26" s="564">
        <v>60029</v>
      </c>
      <c r="D26" s="23">
        <v>0</v>
      </c>
      <c r="E26" s="23">
        <f t="shared" si="1"/>
        <v>60029</v>
      </c>
      <c r="F26" s="271">
        <v>0</v>
      </c>
    </row>
    <row r="27" spans="1:13" s="255" customFormat="1" ht="20.149999999999999" hidden="1" customHeight="1" outlineLevel="1" x14ac:dyDescent="0.55000000000000004">
      <c r="A27" s="34"/>
      <c r="B27" s="545" t="s">
        <v>46</v>
      </c>
      <c r="C27" s="564">
        <v>45756</v>
      </c>
      <c r="D27" s="23">
        <v>0</v>
      </c>
      <c r="E27" s="23">
        <f t="shared" si="1"/>
        <v>45756</v>
      </c>
      <c r="F27" s="271">
        <v>0</v>
      </c>
    </row>
    <row r="28" spans="1:13" s="255" customFormat="1" ht="20.149999999999999" hidden="1" customHeight="1" outlineLevel="1" x14ac:dyDescent="0.55000000000000004">
      <c r="A28" s="34"/>
      <c r="B28" s="545" t="s">
        <v>47</v>
      </c>
      <c r="C28" s="564">
        <v>18224</v>
      </c>
      <c r="D28" s="23">
        <v>0</v>
      </c>
      <c r="E28" s="23">
        <f t="shared" si="1"/>
        <v>18224</v>
      </c>
      <c r="F28" s="271">
        <v>0</v>
      </c>
    </row>
    <row r="29" spans="1:13" s="255" customFormat="1" ht="20.149999999999999" hidden="1" customHeight="1" outlineLevel="1" x14ac:dyDescent="0.55000000000000004">
      <c r="A29" s="34"/>
      <c r="B29" s="545" t="s">
        <v>48</v>
      </c>
      <c r="C29" s="564">
        <v>16078</v>
      </c>
      <c r="D29" s="23">
        <v>0</v>
      </c>
      <c r="E29" s="23">
        <f t="shared" si="1"/>
        <v>16078</v>
      </c>
      <c r="F29" s="271">
        <v>0</v>
      </c>
    </row>
    <row r="30" spans="1:13" s="255" customFormat="1" ht="20.149999999999999" hidden="1" customHeight="1" outlineLevel="1" x14ac:dyDescent="0.55000000000000004">
      <c r="A30" s="34"/>
      <c r="B30" s="546" t="s">
        <v>49</v>
      </c>
      <c r="C30" s="537">
        <v>17326</v>
      </c>
      <c r="D30" s="272">
        <v>0</v>
      </c>
      <c r="E30" s="272">
        <f t="shared" si="1"/>
        <v>17326</v>
      </c>
      <c r="F30" s="266">
        <v>0</v>
      </c>
    </row>
    <row r="31" spans="1:13" s="255" customFormat="1" ht="20.149999999999999" customHeight="1" collapsed="1" x14ac:dyDescent="0.55000000000000004">
      <c r="A31" s="21"/>
      <c r="B31" s="517" t="s">
        <v>1078</v>
      </c>
      <c r="C31" s="12">
        <f>SUM(C33:C41)</f>
        <v>667090</v>
      </c>
      <c r="D31" s="11">
        <f>SUM(D33:D41)</f>
        <v>20985</v>
      </c>
      <c r="E31" s="11">
        <f>SUM(E33:E41)</f>
        <v>688075</v>
      </c>
      <c r="F31" s="256">
        <f>SUM(F33:F41)</f>
        <v>609</v>
      </c>
      <c r="G31" s="22"/>
      <c r="H31" s="22"/>
      <c r="I31" s="22"/>
      <c r="J31" s="22"/>
      <c r="K31" s="22"/>
      <c r="L31" s="20"/>
      <c r="M31" s="20"/>
    </row>
    <row r="32" spans="1:13" s="255" customFormat="1" ht="20.149999999999999" customHeight="1" x14ac:dyDescent="0.55000000000000004">
      <c r="A32" s="21"/>
      <c r="B32" s="545" t="s">
        <v>1100</v>
      </c>
      <c r="C32" s="12"/>
      <c r="D32" s="11"/>
      <c r="E32" s="11"/>
      <c r="F32" s="256"/>
      <c r="G32" s="22"/>
      <c r="H32" s="22"/>
      <c r="I32" s="22"/>
      <c r="J32" s="22"/>
      <c r="K32" s="22"/>
      <c r="L32" s="20"/>
      <c r="M32" s="20"/>
    </row>
    <row r="33" spans="1:13" s="255" customFormat="1" ht="20.149999999999999" hidden="1" customHeight="1" outlineLevel="1" x14ac:dyDescent="0.55000000000000004">
      <c r="A33" s="34"/>
      <c r="B33" s="544" t="s">
        <v>41</v>
      </c>
      <c r="C33" s="563">
        <v>10267</v>
      </c>
      <c r="D33" s="269">
        <v>16374</v>
      </c>
      <c r="E33" s="269">
        <f t="shared" ref="E33:E41" si="2">SUM(C33:D33)</f>
        <v>26641</v>
      </c>
      <c r="F33" s="270">
        <v>132</v>
      </c>
    </row>
    <row r="34" spans="1:13" s="255" customFormat="1" ht="20.149999999999999" hidden="1" customHeight="1" outlineLevel="1" x14ac:dyDescent="0.55000000000000004">
      <c r="A34" s="34"/>
      <c r="B34" s="545" t="s">
        <v>42</v>
      </c>
      <c r="C34" s="564">
        <v>205554</v>
      </c>
      <c r="D34" s="23">
        <v>4605</v>
      </c>
      <c r="E34" s="23">
        <f t="shared" si="2"/>
        <v>210159</v>
      </c>
      <c r="F34" s="271">
        <v>439</v>
      </c>
    </row>
    <row r="35" spans="1:13" s="255" customFormat="1" ht="20.149999999999999" hidden="1" customHeight="1" outlineLevel="1" x14ac:dyDescent="0.55000000000000004">
      <c r="A35" s="34"/>
      <c r="B35" s="545" t="s">
        <v>43</v>
      </c>
      <c r="C35" s="564">
        <v>186049</v>
      </c>
      <c r="D35" s="23">
        <v>5</v>
      </c>
      <c r="E35" s="23">
        <f t="shared" si="2"/>
        <v>186054</v>
      </c>
      <c r="F35" s="271">
        <v>38</v>
      </c>
    </row>
    <row r="36" spans="1:13" s="255" customFormat="1" ht="20.149999999999999" hidden="1" customHeight="1" outlineLevel="1" x14ac:dyDescent="0.55000000000000004">
      <c r="A36" s="34"/>
      <c r="B36" s="545" t="s">
        <v>44</v>
      </c>
      <c r="C36" s="564">
        <v>109565</v>
      </c>
      <c r="D36" s="23">
        <v>0</v>
      </c>
      <c r="E36" s="23">
        <f t="shared" si="2"/>
        <v>109565</v>
      </c>
      <c r="F36" s="271">
        <v>0</v>
      </c>
    </row>
    <row r="37" spans="1:13" s="255" customFormat="1" ht="20.149999999999999" hidden="1" customHeight="1" outlineLevel="1" x14ac:dyDescent="0.55000000000000004">
      <c r="A37" s="34"/>
      <c r="B37" s="545" t="s">
        <v>45</v>
      </c>
      <c r="C37" s="564">
        <v>59571</v>
      </c>
      <c r="D37" s="23">
        <v>0</v>
      </c>
      <c r="E37" s="23">
        <f t="shared" si="2"/>
        <v>59571</v>
      </c>
      <c r="F37" s="271">
        <v>0</v>
      </c>
    </row>
    <row r="38" spans="1:13" s="255" customFormat="1" ht="20.149999999999999" hidden="1" customHeight="1" outlineLevel="1" x14ac:dyDescent="0.55000000000000004">
      <c r="A38" s="34"/>
      <c r="B38" s="545" t="s">
        <v>46</v>
      </c>
      <c r="C38" s="564">
        <v>45537</v>
      </c>
      <c r="D38" s="23">
        <v>1</v>
      </c>
      <c r="E38" s="23">
        <f t="shared" si="2"/>
        <v>45538</v>
      </c>
      <c r="F38" s="271">
        <v>0</v>
      </c>
    </row>
    <row r="39" spans="1:13" s="255" customFormat="1" ht="20.149999999999999" hidden="1" customHeight="1" outlineLevel="1" x14ac:dyDescent="0.55000000000000004">
      <c r="A39" s="34"/>
      <c r="B39" s="545" t="s">
        <v>47</v>
      </c>
      <c r="C39" s="564">
        <v>18109</v>
      </c>
      <c r="D39" s="23">
        <v>0</v>
      </c>
      <c r="E39" s="23">
        <f t="shared" si="2"/>
        <v>18109</v>
      </c>
      <c r="F39" s="271">
        <v>0</v>
      </c>
    </row>
    <row r="40" spans="1:13" s="255" customFormat="1" ht="20.149999999999999" hidden="1" customHeight="1" outlineLevel="1" x14ac:dyDescent="0.55000000000000004">
      <c r="A40" s="34"/>
      <c r="B40" s="545" t="s">
        <v>48</v>
      </c>
      <c r="C40" s="564">
        <v>15860</v>
      </c>
      <c r="D40" s="23">
        <v>0</v>
      </c>
      <c r="E40" s="23">
        <f t="shared" si="2"/>
        <v>15860</v>
      </c>
      <c r="F40" s="271">
        <v>0</v>
      </c>
    </row>
    <row r="41" spans="1:13" s="255" customFormat="1" ht="20.149999999999999" hidden="1" customHeight="1" outlineLevel="1" x14ac:dyDescent="0.55000000000000004">
      <c r="A41" s="34"/>
      <c r="B41" s="546" t="s">
        <v>49</v>
      </c>
      <c r="C41" s="537">
        <v>16578</v>
      </c>
      <c r="D41" s="272">
        <v>0</v>
      </c>
      <c r="E41" s="272">
        <f t="shared" si="2"/>
        <v>16578</v>
      </c>
      <c r="F41" s="266">
        <v>0</v>
      </c>
    </row>
    <row r="42" spans="1:13" s="255" customFormat="1" ht="20.149999999999999" customHeight="1" collapsed="1" x14ac:dyDescent="0.55000000000000004">
      <c r="A42" s="21"/>
      <c r="B42" s="517" t="s">
        <v>38</v>
      </c>
      <c r="C42" s="12">
        <v>659453</v>
      </c>
      <c r="D42" s="11">
        <v>21266</v>
      </c>
      <c r="E42" s="11">
        <v>680719</v>
      </c>
      <c r="F42" s="256">
        <v>648</v>
      </c>
      <c r="G42" s="22"/>
      <c r="H42" s="22"/>
      <c r="I42" s="22"/>
      <c r="J42" s="22"/>
      <c r="K42" s="22"/>
      <c r="L42" s="20"/>
      <c r="M42" s="20"/>
    </row>
    <row r="43" spans="1:13" s="255" customFormat="1" ht="20.149999999999999" customHeight="1" x14ac:dyDescent="0.55000000000000004">
      <c r="A43" s="21"/>
      <c r="B43" s="275" t="s">
        <v>1</v>
      </c>
      <c r="C43" s="14">
        <v>660651</v>
      </c>
      <c r="D43" s="13">
        <v>21757</v>
      </c>
      <c r="E43" s="13">
        <v>682408</v>
      </c>
      <c r="F43" s="257">
        <v>697</v>
      </c>
      <c r="G43" s="22"/>
      <c r="H43" s="22"/>
      <c r="I43" s="22"/>
      <c r="J43" s="22"/>
      <c r="K43" s="22"/>
      <c r="L43" s="19"/>
      <c r="M43" s="19"/>
    </row>
    <row r="44" spans="1:13" s="255" customFormat="1" ht="20.149999999999999" customHeight="1" x14ac:dyDescent="0.55000000000000004">
      <c r="A44" s="21"/>
      <c r="B44" s="275" t="s">
        <v>39</v>
      </c>
      <c r="C44" s="14">
        <v>657662</v>
      </c>
      <c r="D44" s="13">
        <v>21938</v>
      </c>
      <c r="E44" s="13">
        <v>679600</v>
      </c>
      <c r="F44" s="257">
        <v>687</v>
      </c>
      <c r="G44" s="22"/>
      <c r="H44" s="22"/>
      <c r="I44" s="22"/>
      <c r="J44" s="22"/>
      <c r="K44" s="22"/>
      <c r="L44" s="19"/>
      <c r="M44" s="19"/>
    </row>
    <row r="45" spans="1:13" s="255" customFormat="1" ht="20.149999999999999" customHeight="1" x14ac:dyDescent="0.55000000000000004">
      <c r="A45" s="21"/>
      <c r="B45" s="275" t="s">
        <v>40</v>
      </c>
      <c r="C45" s="14">
        <v>650439</v>
      </c>
      <c r="D45" s="13">
        <v>22309</v>
      </c>
      <c r="E45" s="13">
        <v>672748</v>
      </c>
      <c r="F45" s="257">
        <v>754</v>
      </c>
      <c r="G45" s="22"/>
      <c r="H45" s="22"/>
      <c r="I45" s="22"/>
      <c r="J45" s="22"/>
      <c r="K45" s="22"/>
      <c r="L45" s="19"/>
      <c r="M45" s="19"/>
    </row>
    <row r="46" spans="1:13" s="255" customFormat="1" ht="20.149999999999999" customHeight="1" x14ac:dyDescent="0.55000000000000004">
      <c r="A46" s="21"/>
      <c r="B46" s="275" t="s">
        <v>3</v>
      </c>
      <c r="C46" s="14">
        <v>642887</v>
      </c>
      <c r="D46" s="13">
        <v>21804</v>
      </c>
      <c r="E46" s="13">
        <v>664691</v>
      </c>
      <c r="F46" s="257">
        <v>762</v>
      </c>
      <c r="G46" s="22"/>
      <c r="H46" s="22"/>
      <c r="I46" s="22"/>
      <c r="J46" s="22"/>
      <c r="K46" s="22"/>
      <c r="L46" s="19"/>
      <c r="M46" s="19"/>
    </row>
    <row r="47" spans="1:13" x14ac:dyDescent="0.35">
      <c r="B47" s="3"/>
    </row>
    <row r="48" spans="1:13" x14ac:dyDescent="0.35">
      <c r="B48" s="3"/>
    </row>
    <row r="49" spans="2:2" x14ac:dyDescent="0.35">
      <c r="B49" s="3"/>
    </row>
    <row r="50" spans="2:2" x14ac:dyDescent="0.35">
      <c r="B50" s="3"/>
    </row>
    <row r="51" spans="2:2" x14ac:dyDescent="0.35">
      <c r="B51" s="3"/>
    </row>
    <row r="52" spans="2:2" x14ac:dyDescent="0.35">
      <c r="B52" s="3"/>
    </row>
    <row r="53" spans="2:2" x14ac:dyDescent="0.35">
      <c r="B53" s="3"/>
    </row>
    <row r="54" spans="2:2" x14ac:dyDescent="0.35">
      <c r="B54" s="3"/>
    </row>
    <row r="55" spans="2:2" x14ac:dyDescent="0.35">
      <c r="B55" s="3"/>
    </row>
    <row r="56" spans="2:2" x14ac:dyDescent="0.35">
      <c r="B56" s="3"/>
    </row>
    <row r="57" spans="2:2" x14ac:dyDescent="0.35">
      <c r="B57" s="3"/>
    </row>
    <row r="58" spans="2:2" x14ac:dyDescent="0.35">
      <c r="B58" s="3"/>
    </row>
    <row r="59" spans="2:2" x14ac:dyDescent="0.35">
      <c r="B59" s="3"/>
    </row>
    <row r="60" spans="2:2" x14ac:dyDescent="0.35">
      <c r="B60" s="3"/>
    </row>
    <row r="61" spans="2:2" x14ac:dyDescent="0.35">
      <c r="B61" s="3"/>
    </row>
    <row r="62" spans="2:2" x14ac:dyDescent="0.35">
      <c r="B62" s="3"/>
    </row>
    <row r="63" spans="2:2" x14ac:dyDescent="0.35">
      <c r="B63" s="3"/>
    </row>
    <row r="64" spans="2:2" x14ac:dyDescent="0.35">
      <c r="B64" s="3"/>
    </row>
    <row r="65" spans="2:2" x14ac:dyDescent="0.35">
      <c r="B65" s="3"/>
    </row>
    <row r="66" spans="2:2" x14ac:dyDescent="0.35">
      <c r="B66" s="3"/>
    </row>
    <row r="67" spans="2:2" x14ac:dyDescent="0.35">
      <c r="B67" s="3"/>
    </row>
    <row r="68" spans="2:2" x14ac:dyDescent="0.35">
      <c r="B68" s="3"/>
    </row>
    <row r="69" spans="2:2" x14ac:dyDescent="0.35">
      <c r="B69" s="3"/>
    </row>
  </sheetData>
  <sortState ref="A9:M13">
    <sortCondition descending="1" ref="B9:B13"/>
  </sortState>
  <customSheetViews>
    <customSheetView guid="{501209ED-4B79-4E52-B95E-748E5E77E24F}" hiddenRows="1">
      <pane xSplit="2" ySplit="7" topLeftCell="C8" activePane="bottomRight" state="frozen"/>
      <selection pane="bottomRight" activeCell="H8" sqref="H8"/>
      <pageMargins left="0.59055118110236227" right="0.59055118110236227" top="0.59055118110236227" bottom="0.59055118110236227" header="0.31496062992125984" footer="0.31496062992125984"/>
      <printOptions horizontalCentered="1"/>
      <pageSetup paperSize="9" scale="27" orientation="portrait" r:id="rId1"/>
    </customSheetView>
  </customSheetViews>
  <phoneticPr fontId="1"/>
  <conditionalFormatting sqref="C22:F30">
    <cfRule type="containsBlanks" dxfId="417" priority="2">
      <formula>LEN(TRIM(C22))=0</formula>
    </cfRule>
  </conditionalFormatting>
  <conditionalFormatting sqref="C11:F19">
    <cfRule type="containsBlanks" dxfId="416" priority="1">
      <formula>LEN(TRIM(C11))=0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27"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0"/>
  <sheetViews>
    <sheetView zoomScaleNormal="100" zoomScaleSheetLayoutView="100" workbookViewId="0">
      <pane xSplit="2" ySplit="8" topLeftCell="C9" activePane="bottomRight" state="frozen"/>
      <selection pane="topRight" activeCell="C1" sqref="C1"/>
      <selection pane="bottomLeft" activeCell="A9" sqref="A9"/>
      <selection pane="bottomRight"/>
    </sheetView>
  </sheetViews>
  <sheetFormatPr defaultColWidth="8.58203125" defaultRowHeight="14.5" outlineLevelRow="1" x14ac:dyDescent="0.35"/>
  <cols>
    <col min="1" max="1" width="12.33203125" style="2" bestFit="1" customWidth="1"/>
    <col min="2" max="2" width="22.08203125" style="4" bestFit="1" customWidth="1"/>
    <col min="3" max="3" width="15.58203125" style="1" customWidth="1"/>
    <col min="4" max="4" width="12.33203125" style="1" bestFit="1" customWidth="1"/>
    <col min="5" max="5" width="12.33203125" style="1" customWidth="1"/>
    <col min="6" max="6" width="15.58203125" style="1" customWidth="1"/>
    <col min="7" max="8" width="20.08203125" style="1" bestFit="1" customWidth="1"/>
    <col min="9" max="9" width="18.08203125" style="1" bestFit="1" customWidth="1"/>
    <col min="10" max="11" width="16.08203125" style="1" bestFit="1" customWidth="1"/>
    <col min="12" max="12" width="14.33203125" style="1" bestFit="1" customWidth="1"/>
    <col min="13" max="13" width="15.58203125" style="1" customWidth="1"/>
    <col min="14" max="14" width="9.08203125" style="1" customWidth="1"/>
    <col min="15" max="18" width="13.08203125" style="1" customWidth="1"/>
    <col min="19" max="19" width="11.08203125" style="1" customWidth="1"/>
    <col min="20" max="20" width="8.5" style="1" bestFit="1" customWidth="1"/>
    <col min="21" max="24" width="10.58203125" style="1" customWidth="1"/>
    <col min="25" max="25" width="8.5" style="1" bestFit="1" customWidth="1"/>
    <col min="26" max="28" width="11.58203125" style="1" customWidth="1"/>
    <col min="29" max="29" width="14.33203125" style="1" bestFit="1" customWidth="1"/>
    <col min="30" max="31" width="14.08203125" style="1" customWidth="1"/>
    <col min="32" max="16384" width="8.58203125" style="1"/>
  </cols>
  <sheetData>
    <row r="1" spans="1:31" x14ac:dyDescent="0.35">
      <c r="A1" s="432" t="s">
        <v>438</v>
      </c>
    </row>
    <row r="3" spans="1:31" s="253" customFormat="1" ht="20.149999999999999" customHeight="1" x14ac:dyDescent="0.55000000000000004">
      <c r="A3" s="252" t="s">
        <v>114</v>
      </c>
    </row>
    <row r="4" spans="1:31" s="253" customFormat="1" ht="20.149999999999999" customHeight="1" x14ac:dyDescent="0.55000000000000004">
      <c r="A4" s="252" t="s">
        <v>1044</v>
      </c>
    </row>
    <row r="5" spans="1:31" s="253" customFormat="1" ht="14.5" customHeight="1" x14ac:dyDescent="0.55000000000000004">
      <c r="A5" s="46"/>
    </row>
    <row r="6" spans="1:31" s="22" customFormat="1" ht="14.5" customHeight="1" x14ac:dyDescent="0.55000000000000004">
      <c r="A6" s="16" t="s">
        <v>1016</v>
      </c>
    </row>
    <row r="7" spans="1:31" s="22" customFormat="1" ht="14.5" customHeight="1" x14ac:dyDescent="0.55000000000000004">
      <c r="A7" s="30" t="s">
        <v>1108</v>
      </c>
    </row>
    <row r="8" spans="1:31" s="22" customFormat="1" x14ac:dyDescent="0.55000000000000004">
      <c r="A8" s="30" t="s">
        <v>1019</v>
      </c>
      <c r="B8" s="30"/>
      <c r="C8" s="663" t="s">
        <v>1017</v>
      </c>
      <c r="D8" s="664"/>
      <c r="E8" s="664"/>
      <c r="F8" s="664"/>
      <c r="G8" s="664"/>
      <c r="H8" s="664"/>
      <c r="I8" s="664"/>
      <c r="J8" s="664"/>
      <c r="K8" s="664"/>
      <c r="L8" s="664"/>
      <c r="M8" s="665"/>
      <c r="N8" s="666" t="s">
        <v>1018</v>
      </c>
      <c r="O8" s="667"/>
      <c r="P8" s="667"/>
      <c r="Q8" s="667"/>
      <c r="R8" s="667"/>
      <c r="S8" s="667"/>
      <c r="T8" s="667"/>
      <c r="U8" s="667"/>
      <c r="V8" s="667"/>
      <c r="W8" s="667"/>
      <c r="X8" s="667"/>
      <c r="Y8" s="667"/>
      <c r="Z8" s="667"/>
      <c r="AA8" s="667"/>
      <c r="AB8" s="667"/>
      <c r="AC8" s="667"/>
      <c r="AD8" s="667"/>
      <c r="AE8" s="668"/>
    </row>
    <row r="9" spans="1:31" s="21" customFormat="1" ht="43.5" x14ac:dyDescent="0.55000000000000004">
      <c r="C9" s="276" t="s">
        <v>1017</v>
      </c>
      <c r="D9" s="276" t="s">
        <v>1020</v>
      </c>
      <c r="E9" s="276" t="s">
        <v>1021</v>
      </c>
      <c r="F9" s="276" t="s">
        <v>1015</v>
      </c>
      <c r="G9" s="276" t="s">
        <v>1022</v>
      </c>
      <c r="H9" s="276" t="s">
        <v>1023</v>
      </c>
      <c r="I9" s="276" t="s">
        <v>1024</v>
      </c>
      <c r="J9" s="276" t="s">
        <v>1025</v>
      </c>
      <c r="K9" s="276" t="s">
        <v>1026</v>
      </c>
      <c r="L9" s="278" t="s">
        <v>1027</v>
      </c>
      <c r="M9" s="503" t="s">
        <v>31</v>
      </c>
      <c r="N9" s="276" t="s">
        <v>1028</v>
      </c>
      <c r="O9" s="276" t="s">
        <v>1029</v>
      </c>
      <c r="P9" s="276" t="s">
        <v>1030</v>
      </c>
      <c r="Q9" s="276" t="s">
        <v>1031</v>
      </c>
      <c r="R9" s="276" t="s">
        <v>1032</v>
      </c>
      <c r="S9" s="276" t="s">
        <v>1033</v>
      </c>
      <c r="T9" s="276" t="s">
        <v>1034</v>
      </c>
      <c r="U9" s="276" t="s">
        <v>1035</v>
      </c>
      <c r="V9" s="276" t="s">
        <v>1036</v>
      </c>
      <c r="W9" s="276" t="s">
        <v>1037</v>
      </c>
      <c r="X9" s="276" t="s">
        <v>1038</v>
      </c>
      <c r="Y9" s="276" t="s">
        <v>327</v>
      </c>
      <c r="Z9" s="276" t="s">
        <v>1039</v>
      </c>
      <c r="AA9" s="276" t="s">
        <v>1040</v>
      </c>
      <c r="AB9" s="276" t="s">
        <v>1041</v>
      </c>
      <c r="AC9" s="276" t="s">
        <v>1043</v>
      </c>
      <c r="AD9" s="278" t="s">
        <v>1042</v>
      </c>
      <c r="AE9" s="284" t="s">
        <v>31</v>
      </c>
    </row>
    <row r="10" spans="1:31" s="255" customFormat="1" ht="20.149999999999999" customHeight="1" x14ac:dyDescent="0.55000000000000004">
      <c r="A10" s="21"/>
      <c r="B10" s="517" t="s">
        <v>1127</v>
      </c>
      <c r="C10" s="12">
        <f t="shared" ref="C10:E10" si="0">SUM(C12:C20)</f>
        <v>2585326686</v>
      </c>
      <c r="D10" s="11">
        <f t="shared" si="0"/>
        <v>11309</v>
      </c>
      <c r="E10" s="11">
        <f t="shared" si="0"/>
        <v>0</v>
      </c>
      <c r="F10" s="11">
        <f>SUM(C10:E10)</f>
        <v>2585337995</v>
      </c>
      <c r="G10" s="11">
        <f t="shared" ref="G10:L10" si="1">SUM(G12:G20)</f>
        <v>1331943</v>
      </c>
      <c r="H10" s="256">
        <f t="shared" si="1"/>
        <v>54024646</v>
      </c>
      <c r="I10" s="812">
        <f t="shared" si="1"/>
        <v>717937</v>
      </c>
      <c r="J10" s="25">
        <f t="shared" si="1"/>
        <v>55372032</v>
      </c>
      <c r="K10" s="25">
        <f t="shared" si="1"/>
        <v>7380678</v>
      </c>
      <c r="L10" s="25">
        <f t="shared" si="1"/>
        <v>3183753</v>
      </c>
      <c r="M10" s="813">
        <f>SUM(F10:H10,J10:L10)</f>
        <v>2706631047</v>
      </c>
      <c r="N10" s="812">
        <f>SUM(N12:N20)</f>
        <v>57260</v>
      </c>
      <c r="O10" s="25">
        <f t="shared" ref="O10:S10" si="2">SUM(O12:O20)</f>
        <v>18001875</v>
      </c>
      <c r="P10" s="25">
        <f t="shared" si="2"/>
        <v>432055184</v>
      </c>
      <c r="Q10" s="25">
        <f t="shared" si="2"/>
        <v>15720007</v>
      </c>
      <c r="R10" s="25">
        <f t="shared" si="2"/>
        <v>22355663</v>
      </c>
      <c r="S10" s="25">
        <f t="shared" si="2"/>
        <v>667748</v>
      </c>
      <c r="T10" s="814" t="s">
        <v>50</v>
      </c>
      <c r="U10" s="25">
        <f t="shared" ref="U10:V10" si="3">SUM(U12:U20)</f>
        <v>6578540</v>
      </c>
      <c r="V10" s="25">
        <f t="shared" si="3"/>
        <v>1175200</v>
      </c>
      <c r="W10" s="814" t="s">
        <v>436</v>
      </c>
      <c r="X10" s="25">
        <f t="shared" ref="X10:AE10" si="4">SUM(X12:X20)</f>
        <v>2266800</v>
      </c>
      <c r="Y10" s="25">
        <f t="shared" si="4"/>
        <v>0</v>
      </c>
      <c r="Z10" s="25">
        <f t="shared" si="4"/>
        <v>40410780</v>
      </c>
      <c r="AA10" s="25">
        <f t="shared" si="4"/>
        <v>7878200</v>
      </c>
      <c r="AB10" s="25">
        <f t="shared" si="4"/>
        <v>37828780</v>
      </c>
      <c r="AC10" s="25">
        <f t="shared" si="4"/>
        <v>816500</v>
      </c>
      <c r="AD10" s="25">
        <f t="shared" si="4"/>
        <v>277210310</v>
      </c>
      <c r="AE10" s="813">
        <f t="shared" si="4"/>
        <v>863022847</v>
      </c>
    </row>
    <row r="11" spans="1:31" s="255" customFormat="1" ht="20.149999999999999" customHeight="1" x14ac:dyDescent="0.55000000000000004">
      <c r="A11" s="21"/>
      <c r="B11" s="545" t="s">
        <v>1100</v>
      </c>
      <c r="C11" s="12"/>
      <c r="D11" s="11"/>
      <c r="E11" s="11"/>
      <c r="F11" s="11"/>
      <c r="G11" s="11"/>
      <c r="H11" s="256"/>
      <c r="I11" s="14"/>
      <c r="J11" s="13"/>
      <c r="K11" s="13"/>
      <c r="L11" s="13"/>
      <c r="M11" s="280"/>
      <c r="N11" s="14"/>
      <c r="O11" s="13"/>
      <c r="P11" s="13"/>
      <c r="Q11" s="13"/>
      <c r="R11" s="13"/>
      <c r="S11" s="13"/>
      <c r="T11" s="24"/>
      <c r="U11" s="13"/>
      <c r="V11" s="13"/>
      <c r="W11" s="24"/>
      <c r="X11" s="13"/>
      <c r="Y11" s="13"/>
      <c r="Z11" s="13"/>
      <c r="AA11" s="13"/>
      <c r="AB11" s="13"/>
      <c r="AC11" s="13"/>
      <c r="AD11" s="13"/>
      <c r="AE11" s="280"/>
    </row>
    <row r="12" spans="1:31" s="255" customFormat="1" ht="20.149999999999999" customHeight="1" outlineLevel="1" x14ac:dyDescent="0.55000000000000004">
      <c r="A12" s="34"/>
      <c r="B12" s="544" t="s">
        <v>41</v>
      </c>
      <c r="C12" s="563">
        <v>576538</v>
      </c>
      <c r="D12" s="269">
        <v>0</v>
      </c>
      <c r="E12" s="269">
        <v>0</v>
      </c>
      <c r="F12" s="11">
        <v>576538</v>
      </c>
      <c r="G12" s="269">
        <v>147841</v>
      </c>
      <c r="H12" s="270">
        <v>16624527</v>
      </c>
      <c r="I12" s="563">
        <v>300199</v>
      </c>
      <c r="J12" s="269">
        <v>6366929</v>
      </c>
      <c r="K12" s="269">
        <v>214389</v>
      </c>
      <c r="L12" s="269">
        <v>555375</v>
      </c>
      <c r="M12" s="518">
        <f t="shared" ref="M12:M20" si="5">SUM(C12:H12,J12:L12)</f>
        <v>25062137</v>
      </c>
      <c r="N12" s="563">
        <v>0</v>
      </c>
      <c r="O12" s="269">
        <v>151108</v>
      </c>
      <c r="P12" s="269">
        <v>334871</v>
      </c>
      <c r="Q12" s="269">
        <v>43523</v>
      </c>
      <c r="R12" s="269">
        <v>39731</v>
      </c>
      <c r="S12" s="269">
        <v>2147</v>
      </c>
      <c r="T12" s="570" t="s">
        <v>50</v>
      </c>
      <c r="U12" s="269">
        <v>53020</v>
      </c>
      <c r="V12" s="269">
        <v>15340</v>
      </c>
      <c r="W12" s="570" t="s">
        <v>50</v>
      </c>
      <c r="X12" s="269">
        <v>3300</v>
      </c>
      <c r="Y12" s="269">
        <v>0</v>
      </c>
      <c r="Z12" s="269">
        <v>66960</v>
      </c>
      <c r="AA12" s="269">
        <v>10580</v>
      </c>
      <c r="AB12" s="269">
        <v>56030</v>
      </c>
      <c r="AC12" s="269">
        <v>5980</v>
      </c>
      <c r="AD12" s="269">
        <v>625120</v>
      </c>
      <c r="AE12" s="518">
        <f t="shared" ref="AE12:AE20" si="6">SUM(N12:AD12)</f>
        <v>1407710</v>
      </c>
    </row>
    <row r="13" spans="1:31" s="255" customFormat="1" ht="20.149999999999999" customHeight="1" outlineLevel="1" x14ac:dyDescent="0.55000000000000004">
      <c r="A13" s="34"/>
      <c r="B13" s="545" t="s">
        <v>42</v>
      </c>
      <c r="C13" s="564">
        <v>276057812</v>
      </c>
      <c r="D13" s="23">
        <v>0</v>
      </c>
      <c r="E13" s="23">
        <v>0</v>
      </c>
      <c r="F13" s="11">
        <v>276057812</v>
      </c>
      <c r="G13" s="23">
        <v>85535</v>
      </c>
      <c r="H13" s="271">
        <v>8641646</v>
      </c>
      <c r="I13" s="564">
        <v>91390</v>
      </c>
      <c r="J13" s="23">
        <v>2738975</v>
      </c>
      <c r="K13" s="23">
        <v>1279078</v>
      </c>
      <c r="L13" s="23">
        <v>224555</v>
      </c>
      <c r="M13" s="280">
        <f t="shared" si="5"/>
        <v>565085413</v>
      </c>
      <c r="N13" s="564">
        <v>4330</v>
      </c>
      <c r="O13" s="23">
        <v>4071062</v>
      </c>
      <c r="P13" s="23">
        <v>54102401</v>
      </c>
      <c r="Q13" s="23">
        <v>1521227</v>
      </c>
      <c r="R13" s="23">
        <v>4348709</v>
      </c>
      <c r="S13" s="23">
        <v>112150</v>
      </c>
      <c r="T13" s="567" t="s">
        <v>50</v>
      </c>
      <c r="U13" s="23">
        <v>2161340</v>
      </c>
      <c r="V13" s="23">
        <v>632060</v>
      </c>
      <c r="W13" s="567" t="s">
        <v>50</v>
      </c>
      <c r="X13" s="23">
        <v>1020900</v>
      </c>
      <c r="Y13" s="567" t="s">
        <v>50</v>
      </c>
      <c r="Z13" s="23">
        <v>11130360</v>
      </c>
      <c r="AA13" s="23">
        <v>1545860</v>
      </c>
      <c r="AB13" s="23">
        <v>5004990</v>
      </c>
      <c r="AC13" s="23">
        <v>164680</v>
      </c>
      <c r="AD13" s="23">
        <v>80391980</v>
      </c>
      <c r="AE13" s="280">
        <f t="shared" si="6"/>
        <v>166212049</v>
      </c>
    </row>
    <row r="14" spans="1:31" s="255" customFormat="1" ht="20.149999999999999" customHeight="1" outlineLevel="1" x14ac:dyDescent="0.55000000000000004">
      <c r="A14" s="34"/>
      <c r="B14" s="545" t="s">
        <v>43</v>
      </c>
      <c r="C14" s="564">
        <v>477213567</v>
      </c>
      <c r="D14" s="23">
        <v>441</v>
      </c>
      <c r="E14" s="23">
        <v>0</v>
      </c>
      <c r="F14" s="11">
        <v>477214008</v>
      </c>
      <c r="G14" s="23">
        <v>31717</v>
      </c>
      <c r="H14" s="271">
        <v>6153979</v>
      </c>
      <c r="I14" s="564">
        <v>109115</v>
      </c>
      <c r="J14" s="23">
        <v>4132312</v>
      </c>
      <c r="K14" s="23">
        <v>527649</v>
      </c>
      <c r="L14" s="23">
        <v>544283</v>
      </c>
      <c r="M14" s="280">
        <f t="shared" si="5"/>
        <v>965817956</v>
      </c>
      <c r="N14" s="564">
        <v>7073</v>
      </c>
      <c r="O14" s="23">
        <v>3465985</v>
      </c>
      <c r="P14" s="23">
        <v>96275658</v>
      </c>
      <c r="Q14" s="23">
        <v>2363438</v>
      </c>
      <c r="R14" s="23">
        <v>5640972</v>
      </c>
      <c r="S14" s="23">
        <v>131780</v>
      </c>
      <c r="T14" s="620" t="s">
        <v>50</v>
      </c>
      <c r="U14" s="23">
        <v>1736160</v>
      </c>
      <c r="V14" s="23">
        <v>359840</v>
      </c>
      <c r="W14" s="567" t="s">
        <v>50</v>
      </c>
      <c r="X14" s="23">
        <v>902400</v>
      </c>
      <c r="Y14" s="567" t="s">
        <v>50</v>
      </c>
      <c r="Z14" s="23">
        <v>9515170</v>
      </c>
      <c r="AA14" s="23">
        <v>1953650</v>
      </c>
      <c r="AB14" s="23">
        <v>7419050</v>
      </c>
      <c r="AC14" s="23">
        <v>224250</v>
      </c>
      <c r="AD14" s="23">
        <v>78635700</v>
      </c>
      <c r="AE14" s="280">
        <f t="shared" si="6"/>
        <v>208631126</v>
      </c>
    </row>
    <row r="15" spans="1:31" s="255" customFormat="1" ht="20.149999999999999" customHeight="1" outlineLevel="1" x14ac:dyDescent="0.55000000000000004">
      <c r="A15" s="34"/>
      <c r="B15" s="545" t="s">
        <v>44</v>
      </c>
      <c r="C15" s="564">
        <v>442792485</v>
      </c>
      <c r="D15" s="23">
        <v>4635</v>
      </c>
      <c r="E15" s="23">
        <v>0</v>
      </c>
      <c r="F15" s="11">
        <v>442797120</v>
      </c>
      <c r="G15" s="23">
        <v>50240</v>
      </c>
      <c r="H15" s="271">
        <v>5673111</v>
      </c>
      <c r="I15" s="564">
        <v>29930</v>
      </c>
      <c r="J15" s="23">
        <v>3321112</v>
      </c>
      <c r="K15" s="23">
        <v>473671</v>
      </c>
      <c r="L15" s="23">
        <v>263075</v>
      </c>
      <c r="M15" s="280">
        <f t="shared" si="5"/>
        <v>895375449</v>
      </c>
      <c r="N15" s="564">
        <v>1026</v>
      </c>
      <c r="O15" s="23">
        <v>2409833</v>
      </c>
      <c r="P15" s="23">
        <v>86818917</v>
      </c>
      <c r="Q15" s="23">
        <v>2333798</v>
      </c>
      <c r="R15" s="23">
        <v>4477101</v>
      </c>
      <c r="S15" s="23">
        <v>116763</v>
      </c>
      <c r="T15" s="567" t="s">
        <v>50</v>
      </c>
      <c r="U15" s="23">
        <v>996780</v>
      </c>
      <c r="V15" s="23">
        <v>139880</v>
      </c>
      <c r="W15" s="567" t="s">
        <v>50</v>
      </c>
      <c r="X15" s="23">
        <v>318300</v>
      </c>
      <c r="Y15" s="567" t="s">
        <v>50</v>
      </c>
      <c r="Z15" s="23">
        <v>7363650</v>
      </c>
      <c r="AA15" s="23">
        <v>1722630</v>
      </c>
      <c r="AB15" s="23">
        <v>6213420</v>
      </c>
      <c r="AC15" s="23">
        <v>148350</v>
      </c>
      <c r="AD15" s="23">
        <v>49139160</v>
      </c>
      <c r="AE15" s="280">
        <f t="shared" si="6"/>
        <v>162199608</v>
      </c>
    </row>
    <row r="16" spans="1:31" s="255" customFormat="1" ht="20.149999999999999" customHeight="1" outlineLevel="1" x14ac:dyDescent="0.55000000000000004">
      <c r="A16" s="34"/>
      <c r="B16" s="545" t="s">
        <v>45</v>
      </c>
      <c r="C16" s="564">
        <v>321798653</v>
      </c>
      <c r="D16" s="23">
        <v>0</v>
      </c>
      <c r="E16" s="23">
        <v>0</v>
      </c>
      <c r="F16" s="11">
        <v>321798653</v>
      </c>
      <c r="G16" s="23">
        <v>42803</v>
      </c>
      <c r="H16" s="271">
        <v>2792014</v>
      </c>
      <c r="I16" s="564">
        <v>0</v>
      </c>
      <c r="J16" s="23">
        <v>2368002</v>
      </c>
      <c r="K16" s="23">
        <v>422132</v>
      </c>
      <c r="L16" s="23">
        <v>207469</v>
      </c>
      <c r="M16" s="280">
        <f t="shared" si="5"/>
        <v>649429726</v>
      </c>
      <c r="N16" s="564">
        <v>420</v>
      </c>
      <c r="O16" s="23">
        <v>1812313</v>
      </c>
      <c r="P16" s="23">
        <v>61115385</v>
      </c>
      <c r="Q16" s="23">
        <v>1977454</v>
      </c>
      <c r="R16" s="23">
        <v>2853321</v>
      </c>
      <c r="S16" s="23">
        <v>88548</v>
      </c>
      <c r="T16" s="567" t="s">
        <v>50</v>
      </c>
      <c r="U16" s="23">
        <v>629980</v>
      </c>
      <c r="V16" s="23">
        <v>28080</v>
      </c>
      <c r="W16" s="567" t="s">
        <v>50</v>
      </c>
      <c r="X16" s="23">
        <v>21900</v>
      </c>
      <c r="Y16" s="567" t="s">
        <v>50</v>
      </c>
      <c r="Z16" s="23">
        <v>5280370</v>
      </c>
      <c r="AA16" s="23">
        <v>1193540</v>
      </c>
      <c r="AB16" s="23">
        <v>5555080</v>
      </c>
      <c r="AC16" s="23">
        <v>97750</v>
      </c>
      <c r="AD16" s="23">
        <v>26653700</v>
      </c>
      <c r="AE16" s="280">
        <f t="shared" si="6"/>
        <v>107307841</v>
      </c>
    </row>
    <row r="17" spans="1:31" s="255" customFormat="1" ht="20.149999999999999" customHeight="1" outlineLevel="1" x14ac:dyDescent="0.55000000000000004">
      <c r="A17" s="34"/>
      <c r="B17" s="545" t="s">
        <v>46</v>
      </c>
      <c r="C17" s="564">
        <v>314407672</v>
      </c>
      <c r="D17" s="23">
        <v>4450</v>
      </c>
      <c r="E17" s="23">
        <v>0</v>
      </c>
      <c r="F17" s="11">
        <v>314412122</v>
      </c>
      <c r="G17" s="23">
        <v>122245</v>
      </c>
      <c r="H17" s="271">
        <v>4204696</v>
      </c>
      <c r="I17" s="564">
        <v>83204</v>
      </c>
      <c r="J17" s="23">
        <v>2555003</v>
      </c>
      <c r="K17" s="23">
        <v>484334</v>
      </c>
      <c r="L17" s="23">
        <v>368215</v>
      </c>
      <c r="M17" s="280">
        <f t="shared" si="5"/>
        <v>636558737</v>
      </c>
      <c r="N17" s="564">
        <v>1644</v>
      </c>
      <c r="O17" s="23">
        <v>1680913</v>
      </c>
      <c r="P17" s="23">
        <v>56787962</v>
      </c>
      <c r="Q17" s="23">
        <v>1937126</v>
      </c>
      <c r="R17" s="23">
        <v>2361433</v>
      </c>
      <c r="S17" s="23">
        <v>82362</v>
      </c>
      <c r="T17" s="567" t="s">
        <v>50</v>
      </c>
      <c r="U17" s="23">
        <v>419520</v>
      </c>
      <c r="V17" s="23">
        <v>0</v>
      </c>
      <c r="W17" s="567" t="s">
        <v>50</v>
      </c>
      <c r="X17" s="23">
        <v>0</v>
      </c>
      <c r="Y17" s="567" t="s">
        <v>50</v>
      </c>
      <c r="Z17" s="23">
        <v>4871210</v>
      </c>
      <c r="AA17" s="23">
        <v>1040450</v>
      </c>
      <c r="AB17" s="23">
        <v>5573890</v>
      </c>
      <c r="AC17" s="23">
        <v>69230</v>
      </c>
      <c r="AD17" s="23">
        <v>20336580</v>
      </c>
      <c r="AE17" s="280">
        <f t="shared" si="6"/>
        <v>95162320</v>
      </c>
    </row>
    <row r="18" spans="1:31" s="255" customFormat="1" ht="20.149999999999999" customHeight="1" outlineLevel="1" x14ac:dyDescent="0.55000000000000004">
      <c r="A18" s="34"/>
      <c r="B18" s="545" t="s">
        <v>47</v>
      </c>
      <c r="C18" s="564">
        <v>157676949</v>
      </c>
      <c r="D18" s="23">
        <v>0</v>
      </c>
      <c r="E18" s="23">
        <v>0</v>
      </c>
      <c r="F18" s="11">
        <v>157676949</v>
      </c>
      <c r="G18" s="23">
        <v>30878</v>
      </c>
      <c r="H18" s="271">
        <v>1858848</v>
      </c>
      <c r="I18" s="564">
        <v>0</v>
      </c>
      <c r="J18" s="23">
        <v>1588743</v>
      </c>
      <c r="K18" s="23">
        <v>419510</v>
      </c>
      <c r="L18" s="23">
        <v>211621</v>
      </c>
      <c r="M18" s="280">
        <f t="shared" si="5"/>
        <v>319463498</v>
      </c>
      <c r="N18" s="564">
        <v>40717</v>
      </c>
      <c r="O18" s="23">
        <v>951738</v>
      </c>
      <c r="P18" s="23">
        <v>25072899</v>
      </c>
      <c r="Q18" s="23">
        <v>1191452</v>
      </c>
      <c r="R18" s="23">
        <v>941801</v>
      </c>
      <c r="S18" s="23">
        <v>38432</v>
      </c>
      <c r="T18" s="567" t="s">
        <v>50</v>
      </c>
      <c r="U18" s="23">
        <v>173280</v>
      </c>
      <c r="V18" s="567" t="s">
        <v>50</v>
      </c>
      <c r="W18" s="620" t="s">
        <v>50</v>
      </c>
      <c r="X18" s="567" t="s">
        <v>50</v>
      </c>
      <c r="Y18" s="567" t="s">
        <v>50</v>
      </c>
      <c r="Z18" s="23">
        <v>1927440</v>
      </c>
      <c r="AA18" s="23">
        <v>366050</v>
      </c>
      <c r="AB18" s="23">
        <v>2367720</v>
      </c>
      <c r="AC18" s="23">
        <v>28290</v>
      </c>
      <c r="AD18" s="23">
        <v>8120130</v>
      </c>
      <c r="AE18" s="280">
        <f t="shared" si="6"/>
        <v>41219949</v>
      </c>
    </row>
    <row r="19" spans="1:31" s="255" customFormat="1" ht="20.149999999999999" customHeight="1" outlineLevel="1" x14ac:dyDescent="0.55000000000000004">
      <c r="A19" s="34"/>
      <c r="B19" s="545" t="s">
        <v>48</v>
      </c>
      <c r="C19" s="564">
        <v>180621551</v>
      </c>
      <c r="D19" s="23">
        <v>0</v>
      </c>
      <c r="E19" s="23">
        <v>0</v>
      </c>
      <c r="F19" s="11">
        <v>180621551</v>
      </c>
      <c r="G19" s="23">
        <v>32698</v>
      </c>
      <c r="H19" s="271">
        <v>2605242</v>
      </c>
      <c r="I19" s="564">
        <v>10288</v>
      </c>
      <c r="J19" s="23">
        <v>4982958</v>
      </c>
      <c r="K19" s="23">
        <v>559591</v>
      </c>
      <c r="L19" s="23">
        <v>274255</v>
      </c>
      <c r="M19" s="280">
        <f t="shared" si="5"/>
        <v>369697846</v>
      </c>
      <c r="N19" s="564">
        <v>1820</v>
      </c>
      <c r="O19" s="23">
        <v>1161625</v>
      </c>
      <c r="P19" s="23">
        <v>24335766</v>
      </c>
      <c r="Q19" s="23">
        <v>1398232</v>
      </c>
      <c r="R19" s="23">
        <v>846882</v>
      </c>
      <c r="S19" s="23">
        <v>39798</v>
      </c>
      <c r="T19" s="567" t="s">
        <v>50</v>
      </c>
      <c r="U19" s="23">
        <v>193360</v>
      </c>
      <c r="V19" s="567" t="s">
        <v>50</v>
      </c>
      <c r="W19" s="567" t="s">
        <v>50</v>
      </c>
      <c r="X19" s="567" t="s">
        <v>50</v>
      </c>
      <c r="Y19" s="567" t="s">
        <v>50</v>
      </c>
      <c r="Z19" s="23">
        <v>255620</v>
      </c>
      <c r="AA19" s="23">
        <v>45440</v>
      </c>
      <c r="AB19" s="23">
        <v>2750000</v>
      </c>
      <c r="AC19" s="23">
        <v>36110</v>
      </c>
      <c r="AD19" s="23">
        <v>7338710</v>
      </c>
      <c r="AE19" s="280">
        <f t="shared" si="6"/>
        <v>38403363</v>
      </c>
    </row>
    <row r="20" spans="1:31" s="255" customFormat="1" ht="20.149999999999999" customHeight="1" outlineLevel="1" x14ac:dyDescent="0.55000000000000004">
      <c r="A20" s="34"/>
      <c r="B20" s="546" t="s">
        <v>49</v>
      </c>
      <c r="C20" s="537">
        <v>414181459</v>
      </c>
      <c r="D20" s="272">
        <v>1783</v>
      </c>
      <c r="E20" s="272">
        <v>0</v>
      </c>
      <c r="F20" s="259">
        <v>414183242</v>
      </c>
      <c r="G20" s="272">
        <v>787986</v>
      </c>
      <c r="H20" s="266">
        <v>5470583</v>
      </c>
      <c r="I20" s="537">
        <v>93811</v>
      </c>
      <c r="J20" s="272">
        <v>27317998</v>
      </c>
      <c r="K20" s="272">
        <v>3000324</v>
      </c>
      <c r="L20" s="272">
        <v>534905</v>
      </c>
      <c r="M20" s="281">
        <f t="shared" si="5"/>
        <v>865478280</v>
      </c>
      <c r="N20" s="537">
        <v>230</v>
      </c>
      <c r="O20" s="272">
        <v>2297298</v>
      </c>
      <c r="P20" s="272">
        <v>27211325</v>
      </c>
      <c r="Q20" s="272">
        <v>2953757</v>
      </c>
      <c r="R20" s="272">
        <v>845713</v>
      </c>
      <c r="S20" s="272">
        <v>55768</v>
      </c>
      <c r="T20" s="568" t="s">
        <v>50</v>
      </c>
      <c r="U20" s="272">
        <v>215100</v>
      </c>
      <c r="V20" s="568" t="s">
        <v>50</v>
      </c>
      <c r="W20" s="568" t="s">
        <v>50</v>
      </c>
      <c r="X20" s="568" t="s">
        <v>50</v>
      </c>
      <c r="Y20" s="568" t="s">
        <v>50</v>
      </c>
      <c r="Z20" s="568" t="s">
        <v>50</v>
      </c>
      <c r="AA20" s="568" t="s">
        <v>50</v>
      </c>
      <c r="AB20" s="272">
        <v>2888600</v>
      </c>
      <c r="AC20" s="272">
        <v>41860</v>
      </c>
      <c r="AD20" s="272">
        <v>5969230</v>
      </c>
      <c r="AE20" s="281">
        <f t="shared" si="6"/>
        <v>42478881</v>
      </c>
    </row>
    <row r="21" spans="1:31" s="255" customFormat="1" ht="20.149999999999999" customHeight="1" x14ac:dyDescent="0.55000000000000004">
      <c r="A21" s="21"/>
      <c r="B21" s="517" t="s">
        <v>1110</v>
      </c>
      <c r="C21" s="12">
        <f t="shared" ref="C21:E21" si="7">SUM(C23:C31)</f>
        <v>2567939627</v>
      </c>
      <c r="D21" s="11">
        <f t="shared" si="7"/>
        <v>14862</v>
      </c>
      <c r="E21" s="11">
        <f t="shared" si="7"/>
        <v>0</v>
      </c>
      <c r="F21" s="11">
        <f>SUM(C21:E21)</f>
        <v>2567954489</v>
      </c>
      <c r="G21" s="11">
        <f t="shared" ref="G21:L21" si="8">SUM(G23:G31)</f>
        <v>792004</v>
      </c>
      <c r="H21" s="256">
        <f t="shared" si="8"/>
        <v>45859988</v>
      </c>
      <c r="I21" s="812">
        <f t="shared" si="8"/>
        <v>578147</v>
      </c>
      <c r="J21" s="25">
        <f t="shared" si="8"/>
        <v>40898041</v>
      </c>
      <c r="K21" s="25">
        <f t="shared" si="8"/>
        <v>7490458</v>
      </c>
      <c r="L21" s="25">
        <f t="shared" si="8"/>
        <v>4288818</v>
      </c>
      <c r="M21" s="813">
        <f>SUM(F21:H21,J21:L21)</f>
        <v>2667283798</v>
      </c>
      <c r="N21" s="812">
        <f>SUM(N23:N31)</f>
        <v>19664</v>
      </c>
      <c r="O21" s="25">
        <f t="shared" ref="O21:S21" si="9">SUM(O23:O31)</f>
        <v>18723019</v>
      </c>
      <c r="P21" s="25">
        <f t="shared" si="9"/>
        <v>427098947</v>
      </c>
      <c r="Q21" s="25">
        <f t="shared" si="9"/>
        <v>14690045</v>
      </c>
      <c r="R21" s="25">
        <f t="shared" si="9"/>
        <v>23301436</v>
      </c>
      <c r="S21" s="25">
        <f t="shared" si="9"/>
        <v>702215</v>
      </c>
      <c r="T21" s="814" t="s">
        <v>50</v>
      </c>
      <c r="U21" s="25">
        <f t="shared" ref="U21:V21" si="10">SUM(U23:U31)</f>
        <v>7613200</v>
      </c>
      <c r="V21" s="25">
        <f t="shared" si="10"/>
        <v>1205880</v>
      </c>
      <c r="W21" s="814" t="s">
        <v>436</v>
      </c>
      <c r="X21" s="25">
        <f t="shared" ref="X21:AE21" si="11">SUM(X23:X31)</f>
        <v>2749500</v>
      </c>
      <c r="Y21" s="25">
        <f t="shared" si="11"/>
        <v>22100</v>
      </c>
      <c r="Z21" s="25">
        <f t="shared" si="11"/>
        <v>47322060</v>
      </c>
      <c r="AA21" s="25">
        <f t="shared" si="11"/>
        <v>8385320</v>
      </c>
      <c r="AB21" s="25">
        <f t="shared" si="11"/>
        <v>41761510</v>
      </c>
      <c r="AC21" s="25">
        <f t="shared" si="11"/>
        <v>1053400</v>
      </c>
      <c r="AD21" s="25">
        <f t="shared" si="11"/>
        <v>294071500</v>
      </c>
      <c r="AE21" s="813">
        <f t="shared" si="11"/>
        <v>888719796</v>
      </c>
    </row>
    <row r="22" spans="1:31" s="255" customFormat="1" ht="20.149999999999999" customHeight="1" x14ac:dyDescent="0.55000000000000004">
      <c r="A22" s="21"/>
      <c r="B22" s="545" t="s">
        <v>1100</v>
      </c>
      <c r="C22" s="12"/>
      <c r="D22" s="11"/>
      <c r="E22" s="11"/>
      <c r="F22" s="11"/>
      <c r="G22" s="11"/>
      <c r="H22" s="256"/>
      <c r="I22" s="14"/>
      <c r="J22" s="13"/>
      <c r="K22" s="13"/>
      <c r="L22" s="13"/>
      <c r="M22" s="280"/>
      <c r="N22" s="14"/>
      <c r="O22" s="13"/>
      <c r="P22" s="13"/>
      <c r="Q22" s="13"/>
      <c r="R22" s="13"/>
      <c r="S22" s="13"/>
      <c r="T22" s="24"/>
      <c r="U22" s="13"/>
      <c r="V22" s="13"/>
      <c r="W22" s="24"/>
      <c r="X22" s="13"/>
      <c r="Y22" s="13"/>
      <c r="Z22" s="13"/>
      <c r="AA22" s="13"/>
      <c r="AB22" s="13"/>
      <c r="AC22" s="13"/>
      <c r="AD22" s="13"/>
      <c r="AE22" s="280"/>
    </row>
    <row r="23" spans="1:31" s="255" customFormat="1" ht="20.149999999999999" hidden="1" customHeight="1" outlineLevel="1" x14ac:dyDescent="0.55000000000000004">
      <c r="A23" s="34"/>
      <c r="B23" s="544" t="s">
        <v>41</v>
      </c>
      <c r="C23" s="563">
        <v>20373513</v>
      </c>
      <c r="D23" s="269">
        <v>0</v>
      </c>
      <c r="E23" s="269">
        <v>0</v>
      </c>
      <c r="F23" s="11">
        <f t="shared" ref="F23:F31" si="12">SUM(C23:E23)</f>
        <v>20373513</v>
      </c>
      <c r="G23" s="269">
        <v>80990</v>
      </c>
      <c r="H23" s="270">
        <v>14259187</v>
      </c>
      <c r="I23" s="563">
        <v>68459</v>
      </c>
      <c r="J23" s="269">
        <v>2718236</v>
      </c>
      <c r="K23" s="269">
        <v>296843</v>
      </c>
      <c r="L23" s="269">
        <v>1144551</v>
      </c>
      <c r="M23" s="518">
        <f t="shared" ref="M23:M31" si="13">SUM(C23:H23,J23:L23)</f>
        <v>59246833</v>
      </c>
      <c r="N23" s="563">
        <v>2505</v>
      </c>
      <c r="O23" s="269">
        <v>804344</v>
      </c>
      <c r="P23" s="269">
        <v>3688522</v>
      </c>
      <c r="Q23" s="269">
        <v>180647</v>
      </c>
      <c r="R23" s="269">
        <v>504062</v>
      </c>
      <c r="S23" s="269">
        <v>15687</v>
      </c>
      <c r="T23" s="570" t="s">
        <v>1123</v>
      </c>
      <c r="U23" s="269">
        <v>375720</v>
      </c>
      <c r="V23" s="269">
        <v>30160</v>
      </c>
      <c r="W23" s="570" t="s">
        <v>1123</v>
      </c>
      <c r="X23" s="269">
        <v>117900</v>
      </c>
      <c r="Y23" s="269">
        <v>22100</v>
      </c>
      <c r="Z23" s="269">
        <v>1303040</v>
      </c>
      <c r="AA23" s="269">
        <v>205630</v>
      </c>
      <c r="AB23" s="269">
        <v>771070</v>
      </c>
      <c r="AC23" s="269">
        <v>60490</v>
      </c>
      <c r="AD23" s="269">
        <v>11590110</v>
      </c>
      <c r="AE23" s="518">
        <f t="shared" ref="AE23:AE31" si="14">SUM(N23:AD23)</f>
        <v>19671987</v>
      </c>
    </row>
    <row r="24" spans="1:31" s="255" customFormat="1" ht="20.149999999999999" hidden="1" customHeight="1" outlineLevel="1" x14ac:dyDescent="0.55000000000000004">
      <c r="A24" s="34"/>
      <c r="B24" s="545" t="s">
        <v>42</v>
      </c>
      <c r="C24" s="564">
        <v>305072062</v>
      </c>
      <c r="D24" s="23">
        <v>1990</v>
      </c>
      <c r="E24" s="23">
        <v>0</v>
      </c>
      <c r="F24" s="11">
        <f t="shared" si="12"/>
        <v>305074052</v>
      </c>
      <c r="G24" s="23">
        <v>38392</v>
      </c>
      <c r="H24" s="271">
        <v>7848627</v>
      </c>
      <c r="I24" s="564">
        <v>133690</v>
      </c>
      <c r="J24" s="23">
        <v>1747882</v>
      </c>
      <c r="K24" s="23">
        <v>411928</v>
      </c>
      <c r="L24" s="23">
        <v>495016</v>
      </c>
      <c r="M24" s="280">
        <f t="shared" si="13"/>
        <v>620689949</v>
      </c>
      <c r="N24" s="564">
        <v>3671</v>
      </c>
      <c r="O24" s="23">
        <v>4780618</v>
      </c>
      <c r="P24" s="23">
        <v>59675349</v>
      </c>
      <c r="Q24" s="23">
        <v>1647705</v>
      </c>
      <c r="R24" s="23">
        <v>4937131</v>
      </c>
      <c r="S24" s="23">
        <v>137808</v>
      </c>
      <c r="T24" s="567" t="s">
        <v>1123</v>
      </c>
      <c r="U24" s="23">
        <v>2958180</v>
      </c>
      <c r="V24" s="23">
        <v>668980</v>
      </c>
      <c r="W24" s="567" t="s">
        <v>1123</v>
      </c>
      <c r="X24" s="23">
        <v>1388700</v>
      </c>
      <c r="Y24" s="567">
        <v>0</v>
      </c>
      <c r="Z24" s="23">
        <v>15440220</v>
      </c>
      <c r="AA24" s="23">
        <v>1772980</v>
      </c>
      <c r="AB24" s="23">
        <v>7925770</v>
      </c>
      <c r="AC24" s="23">
        <v>333040</v>
      </c>
      <c r="AD24" s="23">
        <v>89144180</v>
      </c>
      <c r="AE24" s="280">
        <f t="shared" si="14"/>
        <v>190814332</v>
      </c>
    </row>
    <row r="25" spans="1:31" s="255" customFormat="1" ht="20.149999999999999" hidden="1" customHeight="1" outlineLevel="1" x14ac:dyDescent="0.55000000000000004">
      <c r="A25" s="34"/>
      <c r="B25" s="545" t="s">
        <v>43</v>
      </c>
      <c r="C25" s="564">
        <v>479744720</v>
      </c>
      <c r="D25" s="23">
        <v>242</v>
      </c>
      <c r="E25" s="23">
        <v>0</v>
      </c>
      <c r="F25" s="11">
        <f t="shared" si="12"/>
        <v>479744962</v>
      </c>
      <c r="G25" s="23">
        <v>55642</v>
      </c>
      <c r="H25" s="271">
        <v>5930979</v>
      </c>
      <c r="I25" s="564">
        <v>199422</v>
      </c>
      <c r="J25" s="23">
        <v>2474273</v>
      </c>
      <c r="K25" s="23">
        <v>507402</v>
      </c>
      <c r="L25" s="23">
        <v>342231</v>
      </c>
      <c r="M25" s="280">
        <f t="shared" si="13"/>
        <v>968800451</v>
      </c>
      <c r="N25" s="564">
        <v>3109</v>
      </c>
      <c r="O25" s="23">
        <v>3305445</v>
      </c>
      <c r="P25" s="23">
        <v>95654680</v>
      </c>
      <c r="Q25" s="23">
        <v>2147691</v>
      </c>
      <c r="R25" s="23">
        <v>5762066</v>
      </c>
      <c r="S25" s="23">
        <v>134374</v>
      </c>
      <c r="T25" s="620" t="s">
        <v>1123</v>
      </c>
      <c r="U25" s="23">
        <v>1757620</v>
      </c>
      <c r="V25" s="23">
        <v>345020</v>
      </c>
      <c r="W25" s="567" t="s">
        <v>1123</v>
      </c>
      <c r="X25" s="23">
        <v>886200</v>
      </c>
      <c r="Y25" s="567">
        <v>0</v>
      </c>
      <c r="Z25" s="23">
        <v>10097680</v>
      </c>
      <c r="AA25" s="23">
        <v>2068090</v>
      </c>
      <c r="AB25" s="23">
        <v>7732750</v>
      </c>
      <c r="AC25" s="23">
        <v>235060</v>
      </c>
      <c r="AD25" s="23">
        <v>79227540</v>
      </c>
      <c r="AE25" s="280">
        <f t="shared" si="14"/>
        <v>209357325</v>
      </c>
    </row>
    <row r="26" spans="1:31" s="255" customFormat="1" ht="20.149999999999999" hidden="1" customHeight="1" outlineLevel="1" x14ac:dyDescent="0.55000000000000004">
      <c r="A26" s="34"/>
      <c r="B26" s="545" t="s">
        <v>44</v>
      </c>
      <c r="C26" s="564">
        <v>433778398</v>
      </c>
      <c r="D26" s="23">
        <v>1863</v>
      </c>
      <c r="E26" s="23">
        <v>0</v>
      </c>
      <c r="F26" s="11">
        <f t="shared" si="12"/>
        <v>433780261</v>
      </c>
      <c r="G26" s="23">
        <v>82975</v>
      </c>
      <c r="H26" s="271">
        <v>3583024</v>
      </c>
      <c r="I26" s="564">
        <v>82873</v>
      </c>
      <c r="J26" s="23">
        <v>1282221</v>
      </c>
      <c r="K26" s="23">
        <v>447819</v>
      </c>
      <c r="L26" s="23">
        <v>342506</v>
      </c>
      <c r="M26" s="280">
        <f t="shared" si="13"/>
        <v>873299067</v>
      </c>
      <c r="N26" s="564">
        <v>767</v>
      </c>
      <c r="O26" s="23">
        <v>2439354</v>
      </c>
      <c r="P26" s="23">
        <v>83975305</v>
      </c>
      <c r="Q26" s="23">
        <v>2129883</v>
      </c>
      <c r="R26" s="23">
        <v>4468092</v>
      </c>
      <c r="S26" s="23">
        <v>118043</v>
      </c>
      <c r="T26" s="567" t="s">
        <v>1123</v>
      </c>
      <c r="U26" s="23">
        <v>966220</v>
      </c>
      <c r="V26" s="23">
        <v>129740</v>
      </c>
      <c r="W26" s="567" t="s">
        <v>1123</v>
      </c>
      <c r="X26" s="23">
        <v>329100</v>
      </c>
      <c r="Y26" s="567">
        <v>0</v>
      </c>
      <c r="Z26" s="23">
        <v>7734330</v>
      </c>
      <c r="AA26" s="23">
        <v>1767470</v>
      </c>
      <c r="AB26" s="23">
        <v>6362420</v>
      </c>
      <c r="AC26" s="23">
        <v>154100</v>
      </c>
      <c r="AD26" s="23">
        <v>48220800</v>
      </c>
      <c r="AE26" s="280">
        <f t="shared" si="14"/>
        <v>158795624</v>
      </c>
    </row>
    <row r="27" spans="1:31" s="255" customFormat="1" ht="20.149999999999999" hidden="1" customHeight="1" outlineLevel="1" x14ac:dyDescent="0.55000000000000004">
      <c r="A27" s="34"/>
      <c r="B27" s="545" t="s">
        <v>45</v>
      </c>
      <c r="C27" s="564">
        <v>310980421</v>
      </c>
      <c r="D27" s="23">
        <v>1524</v>
      </c>
      <c r="E27" s="23">
        <v>0</v>
      </c>
      <c r="F27" s="11">
        <f t="shared" si="12"/>
        <v>310981945</v>
      </c>
      <c r="G27" s="23">
        <v>79358</v>
      </c>
      <c r="H27" s="271">
        <v>2796331</v>
      </c>
      <c r="I27" s="564">
        <v>53607</v>
      </c>
      <c r="J27" s="23">
        <v>3726332</v>
      </c>
      <c r="K27" s="23">
        <v>520540</v>
      </c>
      <c r="L27" s="23">
        <v>426231</v>
      </c>
      <c r="M27" s="280">
        <f t="shared" si="13"/>
        <v>629512682</v>
      </c>
      <c r="N27" s="564">
        <v>2153</v>
      </c>
      <c r="O27" s="23">
        <v>1679243</v>
      </c>
      <c r="P27" s="23">
        <v>58384031</v>
      </c>
      <c r="Q27" s="23">
        <v>1737464</v>
      </c>
      <c r="R27" s="23">
        <v>2801762</v>
      </c>
      <c r="S27" s="23">
        <v>87516</v>
      </c>
      <c r="T27" s="567" t="s">
        <v>1123</v>
      </c>
      <c r="U27" s="23">
        <v>594440</v>
      </c>
      <c r="V27" s="23">
        <v>31720</v>
      </c>
      <c r="W27" s="567" t="s">
        <v>1123</v>
      </c>
      <c r="X27" s="23">
        <v>27600</v>
      </c>
      <c r="Y27" s="567">
        <v>0</v>
      </c>
      <c r="Z27" s="23">
        <v>5518050</v>
      </c>
      <c r="AA27" s="23">
        <v>1166220</v>
      </c>
      <c r="AB27" s="23">
        <v>5586670</v>
      </c>
      <c r="AC27" s="23">
        <v>95680</v>
      </c>
      <c r="AD27" s="23">
        <v>25779390</v>
      </c>
      <c r="AE27" s="280">
        <f t="shared" si="14"/>
        <v>103491939</v>
      </c>
    </row>
    <row r="28" spans="1:31" s="255" customFormat="1" ht="20.149999999999999" hidden="1" customHeight="1" outlineLevel="1" x14ac:dyDescent="0.55000000000000004">
      <c r="A28" s="34"/>
      <c r="B28" s="545" t="s">
        <v>46</v>
      </c>
      <c r="C28" s="564">
        <v>302979303</v>
      </c>
      <c r="D28" s="23">
        <v>907</v>
      </c>
      <c r="E28" s="23">
        <v>0</v>
      </c>
      <c r="F28" s="11">
        <f t="shared" si="12"/>
        <v>302980210</v>
      </c>
      <c r="G28" s="23">
        <v>99786</v>
      </c>
      <c r="H28" s="271">
        <v>2711581</v>
      </c>
      <c r="I28" s="564">
        <v>34636</v>
      </c>
      <c r="J28" s="23">
        <v>1686877</v>
      </c>
      <c r="K28" s="23">
        <v>458988</v>
      </c>
      <c r="L28" s="23">
        <v>307518</v>
      </c>
      <c r="M28" s="280">
        <f t="shared" si="13"/>
        <v>611225170</v>
      </c>
      <c r="N28" s="564">
        <v>98</v>
      </c>
      <c r="O28" s="23">
        <v>1589233</v>
      </c>
      <c r="P28" s="23">
        <v>53959708</v>
      </c>
      <c r="Q28" s="23">
        <v>1760864</v>
      </c>
      <c r="R28" s="23">
        <v>2306616</v>
      </c>
      <c r="S28" s="23">
        <v>79926</v>
      </c>
      <c r="T28" s="567" t="s">
        <v>1123</v>
      </c>
      <c r="U28" s="23">
        <v>406060</v>
      </c>
      <c r="V28" s="23">
        <v>260</v>
      </c>
      <c r="W28" s="567" t="s">
        <v>1123</v>
      </c>
      <c r="X28" s="23">
        <v>0</v>
      </c>
      <c r="Y28" s="567">
        <v>0</v>
      </c>
      <c r="Z28" s="23">
        <v>5014020</v>
      </c>
      <c r="AA28" s="23">
        <v>1007520</v>
      </c>
      <c r="AB28" s="23">
        <v>5568400</v>
      </c>
      <c r="AC28" s="23">
        <v>73600</v>
      </c>
      <c r="AD28" s="23">
        <v>19646140</v>
      </c>
      <c r="AE28" s="280">
        <f t="shared" si="14"/>
        <v>91412445</v>
      </c>
    </row>
    <row r="29" spans="1:31" s="255" customFormat="1" ht="20.149999999999999" hidden="1" customHeight="1" outlineLevel="1" x14ac:dyDescent="0.55000000000000004">
      <c r="A29" s="34"/>
      <c r="B29" s="545" t="s">
        <v>47</v>
      </c>
      <c r="C29" s="564">
        <v>151064106</v>
      </c>
      <c r="D29" s="23">
        <v>0</v>
      </c>
      <c r="E29" s="23">
        <v>0</v>
      </c>
      <c r="F29" s="11">
        <f t="shared" si="12"/>
        <v>151064106</v>
      </c>
      <c r="G29" s="23">
        <v>30721</v>
      </c>
      <c r="H29" s="271">
        <v>1689171</v>
      </c>
      <c r="I29" s="564">
        <v>0</v>
      </c>
      <c r="J29" s="23">
        <v>1512795</v>
      </c>
      <c r="K29" s="23">
        <v>303734</v>
      </c>
      <c r="L29" s="23">
        <v>193925</v>
      </c>
      <c r="M29" s="280">
        <f t="shared" si="13"/>
        <v>305858558</v>
      </c>
      <c r="N29" s="564">
        <v>1140</v>
      </c>
      <c r="O29" s="23">
        <v>897254</v>
      </c>
      <c r="P29" s="23">
        <v>23625177</v>
      </c>
      <c r="Q29" s="23">
        <v>1038958</v>
      </c>
      <c r="R29" s="23">
        <v>912653</v>
      </c>
      <c r="S29" s="23">
        <v>37515</v>
      </c>
      <c r="T29" s="567" t="s">
        <v>1123</v>
      </c>
      <c r="U29" s="23">
        <v>176860</v>
      </c>
      <c r="V29" s="567">
        <v>0</v>
      </c>
      <c r="W29" s="620" t="s">
        <v>1123</v>
      </c>
      <c r="X29" s="567">
        <v>0</v>
      </c>
      <c r="Y29" s="567">
        <v>0</v>
      </c>
      <c r="Z29" s="23">
        <v>1959120</v>
      </c>
      <c r="AA29" s="23">
        <v>351150</v>
      </c>
      <c r="AB29" s="23">
        <v>2371330</v>
      </c>
      <c r="AC29" s="23">
        <v>29670</v>
      </c>
      <c r="AD29" s="23">
        <v>7816990</v>
      </c>
      <c r="AE29" s="280">
        <f t="shared" si="14"/>
        <v>39217817</v>
      </c>
    </row>
    <row r="30" spans="1:31" s="255" customFormat="1" ht="20.149999999999999" hidden="1" customHeight="1" outlineLevel="1" x14ac:dyDescent="0.55000000000000004">
      <c r="A30" s="34"/>
      <c r="B30" s="545" t="s">
        <v>48</v>
      </c>
      <c r="C30" s="564">
        <v>168547014</v>
      </c>
      <c r="D30" s="23">
        <v>0</v>
      </c>
      <c r="E30" s="23">
        <v>0</v>
      </c>
      <c r="F30" s="11">
        <f t="shared" si="12"/>
        <v>168547014</v>
      </c>
      <c r="G30" s="23">
        <v>87141</v>
      </c>
      <c r="H30" s="271">
        <v>2025355</v>
      </c>
      <c r="I30" s="564">
        <v>762</v>
      </c>
      <c r="J30" s="23">
        <v>2271776</v>
      </c>
      <c r="K30" s="23">
        <v>435651</v>
      </c>
      <c r="L30" s="23">
        <v>272542</v>
      </c>
      <c r="M30" s="280">
        <f t="shared" si="13"/>
        <v>342186493</v>
      </c>
      <c r="N30" s="564">
        <v>5236</v>
      </c>
      <c r="O30" s="23">
        <v>1034235</v>
      </c>
      <c r="P30" s="23">
        <v>22388014</v>
      </c>
      <c r="Q30" s="23">
        <v>1261377</v>
      </c>
      <c r="R30" s="23">
        <v>793862</v>
      </c>
      <c r="S30" s="23">
        <v>37084</v>
      </c>
      <c r="T30" s="567" t="s">
        <v>1123</v>
      </c>
      <c r="U30" s="23">
        <v>172840</v>
      </c>
      <c r="V30" s="567">
        <v>0</v>
      </c>
      <c r="W30" s="567" t="s">
        <v>1123</v>
      </c>
      <c r="X30" s="567">
        <v>0</v>
      </c>
      <c r="Y30" s="567">
        <v>0</v>
      </c>
      <c r="Z30" s="23">
        <v>255600</v>
      </c>
      <c r="AA30" s="23">
        <v>46260</v>
      </c>
      <c r="AB30" s="23">
        <v>2634710</v>
      </c>
      <c r="AC30" s="23">
        <v>31740</v>
      </c>
      <c r="AD30" s="23">
        <v>6881040</v>
      </c>
      <c r="AE30" s="280">
        <f t="shared" si="14"/>
        <v>35541998</v>
      </c>
    </row>
    <row r="31" spans="1:31" s="255" customFormat="1" ht="20.149999999999999" hidden="1" customHeight="1" outlineLevel="1" x14ac:dyDescent="0.55000000000000004">
      <c r="A31" s="34"/>
      <c r="B31" s="546" t="s">
        <v>49</v>
      </c>
      <c r="C31" s="537">
        <v>395400090</v>
      </c>
      <c r="D31" s="272">
        <v>8336</v>
      </c>
      <c r="E31" s="272">
        <v>0</v>
      </c>
      <c r="F31" s="259">
        <f t="shared" si="12"/>
        <v>395408426</v>
      </c>
      <c r="G31" s="272">
        <v>236999</v>
      </c>
      <c r="H31" s="266">
        <v>5015733</v>
      </c>
      <c r="I31" s="537">
        <v>4698</v>
      </c>
      <c r="J31" s="272">
        <v>23477649</v>
      </c>
      <c r="K31" s="272">
        <v>4107553</v>
      </c>
      <c r="L31" s="272">
        <v>764298</v>
      </c>
      <c r="M31" s="281">
        <f t="shared" si="13"/>
        <v>824419084</v>
      </c>
      <c r="N31" s="537">
        <v>985</v>
      </c>
      <c r="O31" s="272">
        <v>2193293</v>
      </c>
      <c r="P31" s="272">
        <v>25748161</v>
      </c>
      <c r="Q31" s="272">
        <v>2785456</v>
      </c>
      <c r="R31" s="272">
        <v>815192</v>
      </c>
      <c r="S31" s="272">
        <v>54262</v>
      </c>
      <c r="T31" s="568" t="s">
        <v>1123</v>
      </c>
      <c r="U31" s="272">
        <v>205260</v>
      </c>
      <c r="V31" s="568">
        <v>0</v>
      </c>
      <c r="W31" s="568" t="s">
        <v>1123</v>
      </c>
      <c r="X31" s="568">
        <v>0</v>
      </c>
      <c r="Y31" s="568">
        <v>0</v>
      </c>
      <c r="Z31" s="568">
        <v>0</v>
      </c>
      <c r="AA31" s="568">
        <v>0</v>
      </c>
      <c r="AB31" s="272">
        <v>2808390</v>
      </c>
      <c r="AC31" s="272">
        <v>40020</v>
      </c>
      <c r="AD31" s="272">
        <v>5765310</v>
      </c>
      <c r="AE31" s="281">
        <f t="shared" si="14"/>
        <v>40416329</v>
      </c>
    </row>
    <row r="32" spans="1:31" s="255" customFormat="1" ht="20.149999999999999" customHeight="1" collapsed="1" x14ac:dyDescent="0.55000000000000004">
      <c r="A32" s="21"/>
      <c r="B32" s="517" t="s">
        <v>1078</v>
      </c>
      <c r="C32" s="12">
        <f t="shared" ref="C32:L32" si="15">SUM(C34:C42)</f>
        <v>2534092984</v>
      </c>
      <c r="D32" s="11">
        <f>SUM(D34:D42)</f>
        <v>15286</v>
      </c>
      <c r="E32" s="11">
        <f t="shared" si="15"/>
        <v>14200</v>
      </c>
      <c r="F32" s="11">
        <f>SUM(C32:E32)</f>
        <v>2534122470</v>
      </c>
      <c r="G32" s="11">
        <f t="shared" si="15"/>
        <v>665826</v>
      </c>
      <c r="H32" s="256">
        <f t="shared" si="15"/>
        <v>39577901</v>
      </c>
      <c r="I32" s="262">
        <f t="shared" si="15"/>
        <v>474827</v>
      </c>
      <c r="J32" s="263">
        <f t="shared" si="15"/>
        <v>36782811</v>
      </c>
      <c r="K32" s="263">
        <f t="shared" si="15"/>
        <v>7830302</v>
      </c>
      <c r="L32" s="263">
        <f t="shared" si="15"/>
        <v>2166228</v>
      </c>
      <c r="M32" s="279">
        <f>SUM(F32:H32,J32:L32)</f>
        <v>2621145538</v>
      </c>
      <c r="N32" s="262">
        <f>SUM(N34:N42)</f>
        <v>36764</v>
      </c>
      <c r="O32" s="263">
        <f t="shared" ref="O32:AE32" si="16">SUM(O34:O42)</f>
        <v>18534797</v>
      </c>
      <c r="P32" s="263">
        <f t="shared" si="16"/>
        <v>419086039</v>
      </c>
      <c r="Q32" s="263">
        <f t="shared" si="16"/>
        <v>13684104</v>
      </c>
      <c r="R32" s="263">
        <f t="shared" si="16"/>
        <v>23426738</v>
      </c>
      <c r="S32" s="263">
        <f t="shared" si="16"/>
        <v>693633</v>
      </c>
      <c r="T32" s="285" t="s">
        <v>50</v>
      </c>
      <c r="U32" s="263">
        <f t="shared" si="16"/>
        <v>7601540</v>
      </c>
      <c r="V32" s="263">
        <f t="shared" si="16"/>
        <v>1231620</v>
      </c>
      <c r="W32" s="285" t="s">
        <v>436</v>
      </c>
      <c r="X32" s="263">
        <f t="shared" si="16"/>
        <v>2807700</v>
      </c>
      <c r="Y32" s="263">
        <f t="shared" si="16"/>
        <v>24180</v>
      </c>
      <c r="Z32" s="263">
        <f t="shared" si="16"/>
        <v>49224150</v>
      </c>
      <c r="AA32" s="263">
        <f t="shared" si="16"/>
        <v>8520160</v>
      </c>
      <c r="AB32" s="263">
        <f t="shared" si="16"/>
        <v>42385890</v>
      </c>
      <c r="AC32" s="263">
        <f t="shared" si="16"/>
        <v>1083300</v>
      </c>
      <c r="AD32" s="263">
        <f t="shared" si="16"/>
        <v>293948580</v>
      </c>
      <c r="AE32" s="279">
        <f t="shared" si="16"/>
        <v>882289195</v>
      </c>
    </row>
    <row r="33" spans="1:31" s="255" customFormat="1" ht="20.149999999999999" customHeight="1" x14ac:dyDescent="0.55000000000000004">
      <c r="A33" s="21"/>
      <c r="B33" s="545" t="s">
        <v>1100</v>
      </c>
      <c r="C33" s="12"/>
      <c r="D33" s="11"/>
      <c r="E33" s="11"/>
      <c r="F33" s="11"/>
      <c r="G33" s="11"/>
      <c r="H33" s="256"/>
      <c r="I33" s="12"/>
      <c r="J33" s="11"/>
      <c r="K33" s="11"/>
      <c r="L33" s="11"/>
      <c r="M33" s="518"/>
      <c r="N33" s="12"/>
      <c r="O33" s="11"/>
      <c r="P33" s="11"/>
      <c r="Q33" s="11"/>
      <c r="R33" s="11"/>
      <c r="S33" s="11"/>
      <c r="T33" s="519"/>
      <c r="U33" s="11"/>
      <c r="V33" s="11"/>
      <c r="W33" s="519"/>
      <c r="X33" s="11"/>
      <c r="Y33" s="11"/>
      <c r="Z33" s="11"/>
      <c r="AA33" s="11"/>
      <c r="AB33" s="11"/>
      <c r="AC33" s="11"/>
      <c r="AD33" s="11"/>
      <c r="AE33" s="518"/>
    </row>
    <row r="34" spans="1:31" s="255" customFormat="1" ht="20.149999999999999" hidden="1" customHeight="1" outlineLevel="1" x14ac:dyDescent="0.55000000000000004">
      <c r="A34" s="34"/>
      <c r="B34" s="544" t="s">
        <v>41</v>
      </c>
      <c r="C34" s="563">
        <v>20184156</v>
      </c>
      <c r="D34" s="269">
        <v>75</v>
      </c>
      <c r="E34" s="269">
        <v>0</v>
      </c>
      <c r="F34" s="11">
        <f t="shared" ref="F34:F42" si="17">SUM(C34:E34)</f>
        <v>20184231</v>
      </c>
      <c r="G34" s="269">
        <v>174682</v>
      </c>
      <c r="H34" s="270">
        <v>13981587</v>
      </c>
      <c r="I34" s="565">
        <v>153028</v>
      </c>
      <c r="J34" s="282">
        <v>3239232</v>
      </c>
      <c r="K34" s="282">
        <v>417238</v>
      </c>
      <c r="L34" s="282">
        <v>235094</v>
      </c>
      <c r="M34" s="279">
        <f t="shared" ref="M34:M42" si="18">SUM(C34:H34,J34:L34)</f>
        <v>58416295</v>
      </c>
      <c r="N34" s="565">
        <v>305</v>
      </c>
      <c r="O34" s="282">
        <v>802024</v>
      </c>
      <c r="P34" s="282">
        <v>3639849</v>
      </c>
      <c r="Q34" s="282">
        <v>180262</v>
      </c>
      <c r="R34" s="282">
        <v>500790</v>
      </c>
      <c r="S34" s="282">
        <v>14737</v>
      </c>
      <c r="T34" s="566" t="s">
        <v>50</v>
      </c>
      <c r="U34" s="282">
        <v>382360</v>
      </c>
      <c r="V34" s="282">
        <v>33280</v>
      </c>
      <c r="W34" s="566" t="s">
        <v>50</v>
      </c>
      <c r="X34" s="282">
        <v>125400</v>
      </c>
      <c r="Y34" s="282">
        <v>24180</v>
      </c>
      <c r="Z34" s="282">
        <v>1298870</v>
      </c>
      <c r="AA34" s="282">
        <v>197430</v>
      </c>
      <c r="AB34" s="282">
        <v>809540</v>
      </c>
      <c r="AC34" s="282">
        <v>60490</v>
      </c>
      <c r="AD34" s="282">
        <v>11388160</v>
      </c>
      <c r="AE34" s="279">
        <f t="shared" ref="AE34:AE42" si="19">SUM(N34:AD34)</f>
        <v>19457677</v>
      </c>
    </row>
    <row r="35" spans="1:31" s="255" customFormat="1" ht="20.149999999999999" hidden="1" customHeight="1" outlineLevel="1" x14ac:dyDescent="0.55000000000000004">
      <c r="A35" s="34"/>
      <c r="B35" s="545" t="s">
        <v>42</v>
      </c>
      <c r="C35" s="564">
        <v>310022377</v>
      </c>
      <c r="D35" s="23">
        <v>0</v>
      </c>
      <c r="E35" s="23">
        <v>0</v>
      </c>
      <c r="F35" s="11">
        <f t="shared" si="17"/>
        <v>310022377</v>
      </c>
      <c r="G35" s="23">
        <v>15441</v>
      </c>
      <c r="H35" s="271">
        <v>4759736</v>
      </c>
      <c r="I35" s="564">
        <v>6740</v>
      </c>
      <c r="J35" s="23">
        <v>1534318</v>
      </c>
      <c r="K35" s="23">
        <v>424442</v>
      </c>
      <c r="L35" s="23">
        <v>183484</v>
      </c>
      <c r="M35" s="280">
        <f t="shared" si="18"/>
        <v>626962175</v>
      </c>
      <c r="N35" s="564">
        <v>8541</v>
      </c>
      <c r="O35" s="23">
        <v>4759535</v>
      </c>
      <c r="P35" s="23">
        <v>60501740</v>
      </c>
      <c r="Q35" s="23">
        <v>1464159</v>
      </c>
      <c r="R35" s="23">
        <v>5047703</v>
      </c>
      <c r="S35" s="23">
        <v>140242</v>
      </c>
      <c r="T35" s="567" t="s">
        <v>50</v>
      </c>
      <c r="U35" s="23">
        <v>3038940</v>
      </c>
      <c r="V35" s="23">
        <v>665600</v>
      </c>
      <c r="W35" s="567" t="s">
        <v>50</v>
      </c>
      <c r="X35" s="23">
        <v>1444800</v>
      </c>
      <c r="Y35" s="567" t="s">
        <v>50</v>
      </c>
      <c r="Z35" s="23">
        <v>15937400</v>
      </c>
      <c r="AA35" s="23">
        <v>1841170</v>
      </c>
      <c r="AB35" s="23">
        <v>8293380</v>
      </c>
      <c r="AC35" s="23">
        <v>363630</v>
      </c>
      <c r="AD35" s="23">
        <v>90332280</v>
      </c>
      <c r="AE35" s="280">
        <f t="shared" si="19"/>
        <v>193839120</v>
      </c>
    </row>
    <row r="36" spans="1:31" s="255" customFormat="1" ht="20.149999999999999" hidden="1" customHeight="1" outlineLevel="1" x14ac:dyDescent="0.55000000000000004">
      <c r="A36" s="34"/>
      <c r="B36" s="545" t="s">
        <v>43</v>
      </c>
      <c r="C36" s="564">
        <v>482717070</v>
      </c>
      <c r="D36" s="23">
        <v>1907</v>
      </c>
      <c r="E36" s="23">
        <v>0</v>
      </c>
      <c r="F36" s="11">
        <f t="shared" si="17"/>
        <v>482718977</v>
      </c>
      <c r="G36" s="23">
        <v>49564</v>
      </c>
      <c r="H36" s="271">
        <v>4902501</v>
      </c>
      <c r="I36" s="564">
        <v>59041</v>
      </c>
      <c r="J36" s="23">
        <v>2799111</v>
      </c>
      <c r="K36" s="23">
        <v>440783</v>
      </c>
      <c r="L36" s="23">
        <v>213138</v>
      </c>
      <c r="M36" s="280">
        <f t="shared" si="18"/>
        <v>973843051</v>
      </c>
      <c r="N36" s="564">
        <v>5490</v>
      </c>
      <c r="O36" s="23">
        <v>3388545</v>
      </c>
      <c r="P36" s="23">
        <v>95936089</v>
      </c>
      <c r="Q36" s="23">
        <v>1979179</v>
      </c>
      <c r="R36" s="23">
        <v>5874199</v>
      </c>
      <c r="S36" s="23">
        <v>133969</v>
      </c>
      <c r="T36" s="567" t="s">
        <v>50</v>
      </c>
      <c r="U36" s="23">
        <v>1696860</v>
      </c>
      <c r="V36" s="23">
        <v>357500</v>
      </c>
      <c r="W36" s="567" t="s">
        <v>50</v>
      </c>
      <c r="X36" s="23">
        <v>882000</v>
      </c>
      <c r="Y36" s="567" t="s">
        <v>50</v>
      </c>
      <c r="Z36" s="23">
        <v>10701090</v>
      </c>
      <c r="AA36" s="23">
        <v>2102770</v>
      </c>
      <c r="AB36" s="23">
        <v>7740040</v>
      </c>
      <c r="AC36" s="23">
        <v>240120</v>
      </c>
      <c r="AD36" s="23">
        <v>79957960</v>
      </c>
      <c r="AE36" s="280">
        <f t="shared" si="19"/>
        <v>210995811</v>
      </c>
    </row>
    <row r="37" spans="1:31" s="255" customFormat="1" ht="20.149999999999999" hidden="1" customHeight="1" outlineLevel="1" x14ac:dyDescent="0.55000000000000004">
      <c r="A37" s="34"/>
      <c r="B37" s="545" t="s">
        <v>44</v>
      </c>
      <c r="C37" s="564">
        <v>423680514</v>
      </c>
      <c r="D37" s="23">
        <v>841</v>
      </c>
      <c r="E37" s="23">
        <v>0</v>
      </c>
      <c r="F37" s="11">
        <f t="shared" si="17"/>
        <v>423681355</v>
      </c>
      <c r="G37" s="23">
        <v>33375</v>
      </c>
      <c r="H37" s="271">
        <v>3440822</v>
      </c>
      <c r="I37" s="564">
        <v>6752</v>
      </c>
      <c r="J37" s="23">
        <v>1975175</v>
      </c>
      <c r="K37" s="23">
        <v>404016</v>
      </c>
      <c r="L37" s="23">
        <v>198034</v>
      </c>
      <c r="M37" s="280">
        <f t="shared" si="18"/>
        <v>853414132</v>
      </c>
      <c r="N37" s="564">
        <v>5707</v>
      </c>
      <c r="O37" s="23">
        <v>2317907</v>
      </c>
      <c r="P37" s="23">
        <v>81431169</v>
      </c>
      <c r="Q37" s="23">
        <v>1951805</v>
      </c>
      <c r="R37" s="23">
        <v>4447729</v>
      </c>
      <c r="S37" s="23">
        <v>115411</v>
      </c>
      <c r="T37" s="567" t="s">
        <v>50</v>
      </c>
      <c r="U37" s="23">
        <v>940500</v>
      </c>
      <c r="V37" s="23">
        <v>130000</v>
      </c>
      <c r="W37" s="567" t="s">
        <v>50</v>
      </c>
      <c r="X37" s="23">
        <v>324600</v>
      </c>
      <c r="Y37" s="567" t="s">
        <v>50</v>
      </c>
      <c r="Z37" s="23">
        <v>8118750</v>
      </c>
      <c r="AA37" s="23">
        <v>1779090</v>
      </c>
      <c r="AB37" s="23">
        <v>6456850</v>
      </c>
      <c r="AC37" s="23">
        <v>147430</v>
      </c>
      <c r="AD37" s="23">
        <v>47078860</v>
      </c>
      <c r="AE37" s="280">
        <f t="shared" si="19"/>
        <v>155245808</v>
      </c>
    </row>
    <row r="38" spans="1:31" s="255" customFormat="1" ht="20.149999999999999" hidden="1" customHeight="1" outlineLevel="1" x14ac:dyDescent="0.55000000000000004">
      <c r="A38" s="34"/>
      <c r="B38" s="545" t="s">
        <v>45</v>
      </c>
      <c r="C38" s="564">
        <v>308342989</v>
      </c>
      <c r="D38" s="23">
        <v>0</v>
      </c>
      <c r="E38" s="23">
        <v>0</v>
      </c>
      <c r="F38" s="11">
        <f t="shared" si="17"/>
        <v>308342989</v>
      </c>
      <c r="G38" s="23">
        <v>53929</v>
      </c>
      <c r="H38" s="271">
        <v>2232568</v>
      </c>
      <c r="I38" s="564">
        <v>94387</v>
      </c>
      <c r="J38" s="23">
        <v>2139528</v>
      </c>
      <c r="K38" s="23">
        <v>387254</v>
      </c>
      <c r="L38" s="23">
        <v>167928</v>
      </c>
      <c r="M38" s="280">
        <f t="shared" si="18"/>
        <v>621667185</v>
      </c>
      <c r="N38" s="564">
        <v>179</v>
      </c>
      <c r="O38" s="23">
        <v>1700129</v>
      </c>
      <c r="P38" s="23">
        <v>57117430</v>
      </c>
      <c r="Q38" s="23">
        <v>1647488</v>
      </c>
      <c r="R38" s="23">
        <v>2805744</v>
      </c>
      <c r="S38" s="23">
        <v>86557</v>
      </c>
      <c r="T38" s="567" t="s">
        <v>50</v>
      </c>
      <c r="U38" s="23">
        <v>604320</v>
      </c>
      <c r="V38" s="23">
        <v>41860</v>
      </c>
      <c r="W38" s="567" t="s">
        <v>50</v>
      </c>
      <c r="X38" s="23">
        <v>29700</v>
      </c>
      <c r="Y38" s="567" t="s">
        <v>50</v>
      </c>
      <c r="Z38" s="23">
        <v>5737710</v>
      </c>
      <c r="AA38" s="23">
        <v>1214820</v>
      </c>
      <c r="AB38" s="23">
        <v>5766750</v>
      </c>
      <c r="AC38" s="23">
        <v>106260</v>
      </c>
      <c r="AD38" s="23">
        <v>25587880</v>
      </c>
      <c r="AE38" s="280">
        <f t="shared" si="19"/>
        <v>102446827</v>
      </c>
    </row>
    <row r="39" spans="1:31" s="255" customFormat="1" ht="20.149999999999999" hidden="1" customHeight="1" outlineLevel="1" x14ac:dyDescent="0.55000000000000004">
      <c r="A39" s="34"/>
      <c r="B39" s="545" t="s">
        <v>46</v>
      </c>
      <c r="C39" s="564">
        <v>300734739</v>
      </c>
      <c r="D39" s="23">
        <v>4590</v>
      </c>
      <c r="E39" s="23">
        <v>0</v>
      </c>
      <c r="F39" s="11">
        <f t="shared" si="17"/>
        <v>300739329</v>
      </c>
      <c r="G39" s="23">
        <v>53800</v>
      </c>
      <c r="H39" s="271">
        <v>2966870</v>
      </c>
      <c r="I39" s="564">
        <v>8550</v>
      </c>
      <c r="J39" s="23">
        <v>2680721</v>
      </c>
      <c r="K39" s="23">
        <v>1181184</v>
      </c>
      <c r="L39" s="23">
        <v>243993</v>
      </c>
      <c r="M39" s="280">
        <f t="shared" si="18"/>
        <v>608605226</v>
      </c>
      <c r="N39" s="564">
        <v>5684</v>
      </c>
      <c r="O39" s="23">
        <v>1583943</v>
      </c>
      <c r="P39" s="23">
        <v>52449371</v>
      </c>
      <c r="Q39" s="23">
        <v>1645982</v>
      </c>
      <c r="R39" s="23">
        <v>2296760</v>
      </c>
      <c r="S39" s="23">
        <v>78153</v>
      </c>
      <c r="T39" s="567" t="s">
        <v>50</v>
      </c>
      <c r="U39" s="23">
        <v>398820</v>
      </c>
      <c r="V39" s="23">
        <v>3380</v>
      </c>
      <c r="W39" s="567" t="s">
        <v>50</v>
      </c>
      <c r="X39" s="23">
        <v>1200</v>
      </c>
      <c r="Y39" s="567" t="s">
        <v>50</v>
      </c>
      <c r="Z39" s="23">
        <v>5179670</v>
      </c>
      <c r="AA39" s="23">
        <v>1006020</v>
      </c>
      <c r="AB39" s="23">
        <v>5588950</v>
      </c>
      <c r="AC39" s="23">
        <v>67390</v>
      </c>
      <c r="AD39" s="23">
        <v>19551860</v>
      </c>
      <c r="AE39" s="280">
        <f t="shared" si="19"/>
        <v>89857183</v>
      </c>
    </row>
    <row r="40" spans="1:31" s="255" customFormat="1" ht="20.149999999999999" hidden="1" customHeight="1" outlineLevel="1" x14ac:dyDescent="0.55000000000000004">
      <c r="A40" s="34"/>
      <c r="B40" s="545" t="s">
        <v>47</v>
      </c>
      <c r="C40" s="564">
        <v>149157918</v>
      </c>
      <c r="D40" s="23">
        <v>4590</v>
      </c>
      <c r="E40" s="23">
        <v>0</v>
      </c>
      <c r="F40" s="11">
        <f t="shared" si="17"/>
        <v>149162508</v>
      </c>
      <c r="G40" s="23">
        <v>51378</v>
      </c>
      <c r="H40" s="271">
        <v>1413785</v>
      </c>
      <c r="I40" s="564">
        <v>0</v>
      </c>
      <c r="J40" s="23">
        <v>1448513</v>
      </c>
      <c r="K40" s="23">
        <v>265324</v>
      </c>
      <c r="L40" s="23">
        <v>127422</v>
      </c>
      <c r="M40" s="280">
        <f t="shared" si="18"/>
        <v>301631438</v>
      </c>
      <c r="N40" s="564">
        <v>979</v>
      </c>
      <c r="O40" s="23">
        <v>892832</v>
      </c>
      <c r="P40" s="23">
        <v>22409130</v>
      </c>
      <c r="Q40" s="23">
        <v>944989</v>
      </c>
      <c r="R40" s="23">
        <v>899774</v>
      </c>
      <c r="S40" s="23">
        <v>35719</v>
      </c>
      <c r="T40" s="567" t="s">
        <v>50</v>
      </c>
      <c r="U40" s="23">
        <v>174280</v>
      </c>
      <c r="V40" s="567" t="s">
        <v>50</v>
      </c>
      <c r="W40" s="567" t="s">
        <v>50</v>
      </c>
      <c r="X40" s="567" t="s">
        <v>50</v>
      </c>
      <c r="Y40" s="567" t="s">
        <v>50</v>
      </c>
      <c r="Z40" s="23">
        <v>1980210</v>
      </c>
      <c r="AA40" s="23">
        <v>332060</v>
      </c>
      <c r="AB40" s="23">
        <v>2456680</v>
      </c>
      <c r="AC40" s="23">
        <v>29440</v>
      </c>
      <c r="AD40" s="23">
        <v>7768540</v>
      </c>
      <c r="AE40" s="280">
        <f t="shared" si="19"/>
        <v>37924633</v>
      </c>
    </row>
    <row r="41" spans="1:31" s="255" customFormat="1" ht="20.149999999999999" hidden="1" customHeight="1" outlineLevel="1" x14ac:dyDescent="0.55000000000000004">
      <c r="A41" s="34"/>
      <c r="B41" s="545" t="s">
        <v>48</v>
      </c>
      <c r="C41" s="564">
        <v>165423768</v>
      </c>
      <c r="D41" s="23">
        <v>0</v>
      </c>
      <c r="E41" s="23">
        <v>0</v>
      </c>
      <c r="F41" s="11">
        <f t="shared" si="17"/>
        <v>165423768</v>
      </c>
      <c r="G41" s="23">
        <v>50614</v>
      </c>
      <c r="H41" s="271">
        <v>1805269</v>
      </c>
      <c r="I41" s="564">
        <v>0</v>
      </c>
      <c r="J41" s="23">
        <v>2619782</v>
      </c>
      <c r="K41" s="23">
        <v>466768</v>
      </c>
      <c r="L41" s="23">
        <v>92634</v>
      </c>
      <c r="M41" s="280">
        <f t="shared" si="18"/>
        <v>335882603</v>
      </c>
      <c r="N41" s="564">
        <v>5557</v>
      </c>
      <c r="O41" s="23">
        <v>1056408</v>
      </c>
      <c r="P41" s="23">
        <v>21350921</v>
      </c>
      <c r="Q41" s="23">
        <v>1226167</v>
      </c>
      <c r="R41" s="23">
        <v>776491</v>
      </c>
      <c r="S41" s="23">
        <v>37023</v>
      </c>
      <c r="T41" s="567" t="s">
        <v>50</v>
      </c>
      <c r="U41" s="23">
        <v>173420</v>
      </c>
      <c r="V41" s="567" t="s">
        <v>50</v>
      </c>
      <c r="W41" s="567" t="s">
        <v>50</v>
      </c>
      <c r="X41" s="567" t="s">
        <v>50</v>
      </c>
      <c r="Y41" s="567" t="s">
        <v>50</v>
      </c>
      <c r="Z41" s="23">
        <v>270450</v>
      </c>
      <c r="AA41" s="23">
        <v>46800</v>
      </c>
      <c r="AB41" s="23">
        <v>2584370</v>
      </c>
      <c r="AC41" s="23">
        <v>31740</v>
      </c>
      <c r="AD41" s="23">
        <v>6781980</v>
      </c>
      <c r="AE41" s="280">
        <f t="shared" si="19"/>
        <v>34341327</v>
      </c>
    </row>
    <row r="42" spans="1:31" s="255" customFormat="1" ht="20.149999999999999" hidden="1" customHeight="1" outlineLevel="1" x14ac:dyDescent="0.55000000000000004">
      <c r="A42" s="34"/>
      <c r="B42" s="546" t="s">
        <v>49</v>
      </c>
      <c r="C42" s="537">
        <v>373829453</v>
      </c>
      <c r="D42" s="272">
        <v>3283</v>
      </c>
      <c r="E42" s="272">
        <v>14200</v>
      </c>
      <c r="F42" s="259">
        <f t="shared" si="17"/>
        <v>373846936</v>
      </c>
      <c r="G42" s="272">
        <v>183043</v>
      </c>
      <c r="H42" s="266">
        <v>4074763</v>
      </c>
      <c r="I42" s="537">
        <v>146329</v>
      </c>
      <c r="J42" s="272">
        <v>18346431</v>
      </c>
      <c r="K42" s="272">
        <v>3843293</v>
      </c>
      <c r="L42" s="272">
        <v>704501</v>
      </c>
      <c r="M42" s="281">
        <f t="shared" si="18"/>
        <v>774845903</v>
      </c>
      <c r="N42" s="537">
        <v>4322</v>
      </c>
      <c r="O42" s="272">
        <v>2033474</v>
      </c>
      <c r="P42" s="272">
        <v>24250340</v>
      </c>
      <c r="Q42" s="272">
        <v>2644073</v>
      </c>
      <c r="R42" s="272">
        <v>777548</v>
      </c>
      <c r="S42" s="272">
        <v>51822</v>
      </c>
      <c r="T42" s="568" t="s">
        <v>50</v>
      </c>
      <c r="U42" s="272">
        <v>192040</v>
      </c>
      <c r="V42" s="568" t="s">
        <v>50</v>
      </c>
      <c r="W42" s="568" t="s">
        <v>50</v>
      </c>
      <c r="X42" s="568" t="s">
        <v>50</v>
      </c>
      <c r="Y42" s="568" t="s">
        <v>50</v>
      </c>
      <c r="Z42" s="568" t="s">
        <v>50</v>
      </c>
      <c r="AA42" s="568" t="s">
        <v>50</v>
      </c>
      <c r="AB42" s="272">
        <v>2689330</v>
      </c>
      <c r="AC42" s="272">
        <v>36800</v>
      </c>
      <c r="AD42" s="272">
        <v>5501060</v>
      </c>
      <c r="AE42" s="281">
        <f t="shared" si="19"/>
        <v>38180809</v>
      </c>
    </row>
    <row r="43" spans="1:31" s="255" customFormat="1" ht="20.149999999999999" customHeight="1" collapsed="1" x14ac:dyDescent="0.55000000000000004">
      <c r="A43" s="21"/>
      <c r="B43" s="275" t="s">
        <v>38</v>
      </c>
      <c r="C43" s="12">
        <v>2457712536</v>
      </c>
      <c r="D43" s="11">
        <v>17376</v>
      </c>
      <c r="E43" s="11">
        <v>0</v>
      </c>
      <c r="F43" s="11">
        <v>2457729912</v>
      </c>
      <c r="G43" s="11">
        <v>719371</v>
      </c>
      <c r="H43" s="256">
        <v>34367284</v>
      </c>
      <c r="I43" s="14">
        <v>347560</v>
      </c>
      <c r="J43" s="11">
        <v>56280083</v>
      </c>
      <c r="K43" s="11">
        <v>5920755</v>
      </c>
      <c r="L43" s="11">
        <v>2208839</v>
      </c>
      <c r="M43" s="518">
        <v>2557226244</v>
      </c>
      <c r="N43" s="12">
        <v>16013</v>
      </c>
      <c r="O43" s="11">
        <v>16374220</v>
      </c>
      <c r="P43" s="11">
        <v>412922942</v>
      </c>
      <c r="Q43" s="11">
        <v>11526167</v>
      </c>
      <c r="R43" s="11">
        <v>23088994</v>
      </c>
      <c r="S43" s="11">
        <v>672637</v>
      </c>
      <c r="T43" s="519" t="s">
        <v>50</v>
      </c>
      <c r="U43" s="11">
        <v>7531700</v>
      </c>
      <c r="V43" s="11">
        <v>1205880</v>
      </c>
      <c r="W43" s="519" t="s">
        <v>50</v>
      </c>
      <c r="X43" s="11">
        <v>2765700</v>
      </c>
      <c r="Y43" s="11">
        <v>24440</v>
      </c>
      <c r="Z43" s="11">
        <v>50967620</v>
      </c>
      <c r="AA43" s="11">
        <v>8430230</v>
      </c>
      <c r="AB43" s="11">
        <v>42487990</v>
      </c>
      <c r="AC43" s="11">
        <v>1088130</v>
      </c>
      <c r="AD43" s="11">
        <v>291017510</v>
      </c>
      <c r="AE43" s="518">
        <v>870120173</v>
      </c>
    </row>
    <row r="44" spans="1:31" s="255" customFormat="1" ht="20.149999999999999" customHeight="1" x14ac:dyDescent="0.55000000000000004">
      <c r="A44" s="21"/>
      <c r="B44" s="275" t="s">
        <v>1</v>
      </c>
      <c r="C44" s="14">
        <v>2421477082</v>
      </c>
      <c r="D44" s="13">
        <v>23657</v>
      </c>
      <c r="E44" s="13">
        <v>0</v>
      </c>
      <c r="F44" s="13">
        <f>SUM(C44:E44)</f>
        <v>2421500739</v>
      </c>
      <c r="G44" s="13">
        <v>703645</v>
      </c>
      <c r="H44" s="257">
        <v>44920009</v>
      </c>
      <c r="I44" s="14">
        <v>391768</v>
      </c>
      <c r="J44" s="13">
        <v>32222918</v>
      </c>
      <c r="K44" s="13">
        <v>6588356</v>
      </c>
      <c r="L44" s="13">
        <v>1104521</v>
      </c>
      <c r="M44" s="280">
        <f>SUM(F44:H44,J44:L44)</f>
        <v>2507040188</v>
      </c>
      <c r="N44" s="14">
        <v>43520</v>
      </c>
      <c r="O44" s="13">
        <v>18481748</v>
      </c>
      <c r="P44" s="13">
        <v>411940798</v>
      </c>
      <c r="Q44" s="13">
        <v>10660271</v>
      </c>
      <c r="R44" s="13">
        <v>23080098</v>
      </c>
      <c r="S44" s="13">
        <v>660734</v>
      </c>
      <c r="T44" s="24" t="s">
        <v>50</v>
      </c>
      <c r="U44" s="13">
        <v>7521420</v>
      </c>
      <c r="V44" s="13">
        <v>3781100</v>
      </c>
      <c r="W44" s="13">
        <v>296400</v>
      </c>
      <c r="X44" s="24" t="s">
        <v>436</v>
      </c>
      <c r="Y44" s="23">
        <v>23920</v>
      </c>
      <c r="Z44" s="23">
        <v>51726800</v>
      </c>
      <c r="AA44" s="23">
        <v>8395740</v>
      </c>
      <c r="AB44" s="23">
        <v>42658000</v>
      </c>
      <c r="AC44" s="23">
        <v>1113200</v>
      </c>
      <c r="AD44" s="23">
        <v>225194640</v>
      </c>
      <c r="AE44" s="280">
        <v>805578389</v>
      </c>
    </row>
    <row r="45" spans="1:31" s="255" customFormat="1" ht="20.149999999999999" customHeight="1" x14ac:dyDescent="0.55000000000000004">
      <c r="A45" s="21"/>
      <c r="B45" s="283" t="s">
        <v>39</v>
      </c>
      <c r="C45" s="12">
        <v>2398661809</v>
      </c>
      <c r="D45" s="11">
        <v>52987</v>
      </c>
      <c r="E45" s="11">
        <v>1845</v>
      </c>
      <c r="F45" s="11">
        <f>SUM(C45:E45)</f>
        <v>2398716641</v>
      </c>
      <c r="G45" s="11">
        <v>909729</v>
      </c>
      <c r="H45" s="256">
        <v>45169647</v>
      </c>
      <c r="I45" s="14">
        <v>632763</v>
      </c>
      <c r="J45" s="11">
        <v>40294868</v>
      </c>
      <c r="K45" s="11">
        <v>6250876</v>
      </c>
      <c r="L45" s="11">
        <v>1971081</v>
      </c>
      <c r="M45" s="518">
        <f>SUM(F45:H45,J45:L45)</f>
        <v>2493312842</v>
      </c>
      <c r="N45" s="12">
        <v>109786</v>
      </c>
      <c r="O45" s="11">
        <v>19004276</v>
      </c>
      <c r="P45" s="11">
        <v>406176340</v>
      </c>
      <c r="Q45" s="11">
        <v>9868798</v>
      </c>
      <c r="R45" s="11">
        <v>23016670</v>
      </c>
      <c r="S45" s="11">
        <v>636371</v>
      </c>
      <c r="T45" s="519" t="s">
        <v>50</v>
      </c>
      <c r="U45" s="11">
        <v>7539980</v>
      </c>
      <c r="V45" s="11">
        <v>3723380</v>
      </c>
      <c r="W45" s="11">
        <v>296400</v>
      </c>
      <c r="X45" s="519" t="s">
        <v>436</v>
      </c>
      <c r="Y45" s="269">
        <v>26520</v>
      </c>
      <c r="Z45" s="269">
        <v>53368220</v>
      </c>
      <c r="AA45" s="269">
        <v>8076400</v>
      </c>
      <c r="AB45" s="269">
        <v>43065510</v>
      </c>
      <c r="AC45" s="269">
        <v>1152530</v>
      </c>
      <c r="AD45" s="269">
        <v>224268000</v>
      </c>
      <c r="AE45" s="518">
        <v>800329181</v>
      </c>
    </row>
    <row r="46" spans="1:31" s="255" customFormat="1" ht="20.149999999999999" customHeight="1" x14ac:dyDescent="0.55000000000000004">
      <c r="A46" s="21"/>
      <c r="B46" s="275" t="s">
        <v>40</v>
      </c>
      <c r="C46" s="14">
        <v>2356828550</v>
      </c>
      <c r="D46" s="13">
        <v>22722</v>
      </c>
      <c r="E46" s="13">
        <v>0</v>
      </c>
      <c r="F46" s="11">
        <f>SUM(C46:E46)</f>
        <v>2356851272</v>
      </c>
      <c r="G46" s="13">
        <v>636358</v>
      </c>
      <c r="H46" s="257">
        <v>41410532</v>
      </c>
      <c r="I46" s="14">
        <v>794563</v>
      </c>
      <c r="J46" s="13">
        <v>52051539</v>
      </c>
      <c r="K46" s="13">
        <v>6947857</v>
      </c>
      <c r="L46" s="13">
        <v>1732787</v>
      </c>
      <c r="M46" s="280">
        <f>SUM(F46:H46,J46:L46)</f>
        <v>2459630345</v>
      </c>
      <c r="N46" s="14">
        <v>43715</v>
      </c>
      <c r="O46" s="13">
        <v>19021580</v>
      </c>
      <c r="P46" s="13">
        <v>398403217</v>
      </c>
      <c r="Q46" s="13">
        <v>8691033</v>
      </c>
      <c r="R46" s="13">
        <v>22632705</v>
      </c>
      <c r="S46" s="13">
        <v>599488</v>
      </c>
      <c r="T46" s="24" t="s">
        <v>50</v>
      </c>
      <c r="U46" s="13">
        <v>7594380</v>
      </c>
      <c r="V46" s="13">
        <v>3668980</v>
      </c>
      <c r="W46" s="13">
        <v>285740</v>
      </c>
      <c r="X46" s="24" t="s">
        <v>436</v>
      </c>
      <c r="Y46" s="23">
        <v>26260</v>
      </c>
      <c r="Z46" s="23">
        <v>60664010</v>
      </c>
      <c r="AA46" s="23">
        <v>3517450</v>
      </c>
      <c r="AB46" s="23">
        <v>43302100</v>
      </c>
      <c r="AC46" s="23">
        <v>1178750</v>
      </c>
      <c r="AD46" s="23">
        <v>222006840</v>
      </c>
      <c r="AE46" s="280">
        <v>791636248</v>
      </c>
    </row>
    <row r="47" spans="1:31" s="255" customFormat="1" ht="20.149999999999999" customHeight="1" x14ac:dyDescent="0.55000000000000004">
      <c r="A47" s="21"/>
      <c r="B47" s="275" t="s">
        <v>3</v>
      </c>
      <c r="C47" s="14">
        <v>2321730038</v>
      </c>
      <c r="D47" s="13">
        <v>16668</v>
      </c>
      <c r="E47" s="13">
        <v>0</v>
      </c>
      <c r="F47" s="13">
        <f>SUM(C47:E47)</f>
        <v>2321746706</v>
      </c>
      <c r="G47" s="13">
        <v>1437046</v>
      </c>
      <c r="H47" s="257">
        <v>42499659</v>
      </c>
      <c r="I47" s="14">
        <v>703066</v>
      </c>
      <c r="J47" s="13">
        <v>37551250</v>
      </c>
      <c r="K47" s="13">
        <v>4998293</v>
      </c>
      <c r="L47" s="13">
        <v>2164422</v>
      </c>
      <c r="M47" s="280">
        <f>SUM(F47:H47,J47:L47)</f>
        <v>2410397376</v>
      </c>
      <c r="N47" s="14">
        <v>18262</v>
      </c>
      <c r="O47" s="13">
        <v>18493785</v>
      </c>
      <c r="P47" s="13">
        <v>389700684</v>
      </c>
      <c r="Q47" s="13">
        <v>7769797</v>
      </c>
      <c r="R47" s="13">
        <v>22064474</v>
      </c>
      <c r="S47" s="13">
        <v>597675</v>
      </c>
      <c r="T47" s="24" t="s">
        <v>50</v>
      </c>
      <c r="U47" s="13">
        <v>7663660</v>
      </c>
      <c r="V47" s="13">
        <v>3580640</v>
      </c>
      <c r="W47" s="13">
        <v>291200</v>
      </c>
      <c r="X47" s="24" t="s">
        <v>436</v>
      </c>
      <c r="Y47" s="23">
        <v>26260</v>
      </c>
      <c r="Z47" s="23">
        <v>62132680</v>
      </c>
      <c r="AA47" s="23">
        <v>3485920</v>
      </c>
      <c r="AB47" s="23">
        <v>43738380</v>
      </c>
      <c r="AC47" s="23">
        <v>1214400</v>
      </c>
      <c r="AD47" s="23">
        <v>219348030</v>
      </c>
      <c r="AE47" s="280">
        <v>780125847</v>
      </c>
    </row>
    <row r="48" spans="1:31" x14ac:dyDescent="0.35">
      <c r="B48" s="3"/>
    </row>
    <row r="49" spans="2:2" x14ac:dyDescent="0.35">
      <c r="B49" s="3"/>
    </row>
    <row r="50" spans="2:2" x14ac:dyDescent="0.35">
      <c r="B50" s="3"/>
    </row>
    <row r="51" spans="2:2" x14ac:dyDescent="0.35">
      <c r="B51" s="3"/>
    </row>
    <row r="52" spans="2:2" x14ac:dyDescent="0.35">
      <c r="B52" s="3"/>
    </row>
    <row r="53" spans="2:2" x14ac:dyDescent="0.35">
      <c r="B53" s="3"/>
    </row>
    <row r="54" spans="2:2" x14ac:dyDescent="0.35">
      <c r="B54" s="3"/>
    </row>
    <row r="55" spans="2:2" x14ac:dyDescent="0.35">
      <c r="B55" s="3"/>
    </row>
    <row r="56" spans="2:2" x14ac:dyDescent="0.35">
      <c r="B56" s="3"/>
    </row>
    <row r="57" spans="2:2" x14ac:dyDescent="0.35">
      <c r="B57" s="3"/>
    </row>
    <row r="58" spans="2:2" x14ac:dyDescent="0.35">
      <c r="B58" s="3"/>
    </row>
    <row r="59" spans="2:2" x14ac:dyDescent="0.35">
      <c r="B59" s="3"/>
    </row>
    <row r="60" spans="2:2" x14ac:dyDescent="0.35">
      <c r="B60" s="3"/>
    </row>
    <row r="61" spans="2:2" x14ac:dyDescent="0.35">
      <c r="B61" s="3"/>
    </row>
    <row r="62" spans="2:2" x14ac:dyDescent="0.35">
      <c r="B62" s="3"/>
    </row>
    <row r="63" spans="2:2" x14ac:dyDescent="0.35">
      <c r="B63" s="3"/>
    </row>
    <row r="64" spans="2:2" x14ac:dyDescent="0.35">
      <c r="B64" s="3"/>
    </row>
    <row r="65" spans="2:2" x14ac:dyDescent="0.35">
      <c r="B65" s="3"/>
    </row>
    <row r="66" spans="2:2" x14ac:dyDescent="0.35">
      <c r="B66" s="3"/>
    </row>
    <row r="67" spans="2:2" x14ac:dyDescent="0.35">
      <c r="B67" s="3"/>
    </row>
    <row r="68" spans="2:2" x14ac:dyDescent="0.35">
      <c r="B68" s="3"/>
    </row>
    <row r="69" spans="2:2" x14ac:dyDescent="0.35">
      <c r="B69" s="3"/>
    </row>
    <row r="70" spans="2:2" x14ac:dyDescent="0.35">
      <c r="B70" s="3"/>
    </row>
  </sheetData>
  <sortState ref="A10:AE14">
    <sortCondition descending="1" ref="B10:B14"/>
  </sortState>
  <customSheetViews>
    <customSheetView guid="{501209ED-4B79-4E52-B95E-748E5E77E24F}" hiddenRows="1">
      <pane xSplit="2" ySplit="8" topLeftCell="Q10" activePane="bottomRight" state="frozen"/>
      <selection pane="bottomRight" activeCell="V13" sqref="V13"/>
      <pageMargins left="0.59055118110236227" right="0.59055118110236227" top="0.59055118110236227" bottom="0.59055118110236227" header="0.31496062992125984" footer="0.31496062992125984"/>
      <printOptions horizontalCentered="1"/>
      <pageSetup paperSize="9" scale="27" orientation="portrait" r:id="rId1"/>
    </customSheetView>
  </customSheetViews>
  <mergeCells count="2">
    <mergeCell ref="C8:M8"/>
    <mergeCell ref="N8:AE8"/>
  </mergeCells>
  <phoneticPr fontId="1"/>
  <conditionalFormatting sqref="C23:AE31">
    <cfRule type="containsBlanks" dxfId="415" priority="2">
      <formula>LEN(TRIM(C23))=0</formula>
    </cfRule>
  </conditionalFormatting>
  <conditionalFormatting sqref="C12:AE20">
    <cfRule type="containsBlanks" dxfId="414" priority="1">
      <formula>LEN(TRIM(C12))=0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27"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0"/>
  <sheetViews>
    <sheetView zoomScaleNormal="100" zoomScaleSheetLayoutView="100" workbookViewId="0">
      <pane xSplit="2" ySplit="8" topLeftCell="C9" activePane="bottomRight" state="frozen"/>
      <selection pane="topRight" activeCell="C1" sqref="C1"/>
      <selection pane="bottomLeft" activeCell="A9" sqref="A9"/>
      <selection pane="bottomRight"/>
    </sheetView>
  </sheetViews>
  <sheetFormatPr defaultColWidth="8.58203125" defaultRowHeight="14.5" outlineLevelRow="1" x14ac:dyDescent="0.35"/>
  <cols>
    <col min="1" max="1" width="12.33203125" style="2" bestFit="1" customWidth="1"/>
    <col min="2" max="2" width="22.08203125" style="4" bestFit="1" customWidth="1"/>
    <col min="3" max="3" width="13.5" style="1" bestFit="1" customWidth="1"/>
    <col min="4" max="5" width="14.33203125" style="1" bestFit="1" customWidth="1"/>
    <col min="6" max="6" width="13.5" style="1" bestFit="1" customWidth="1"/>
    <col min="7" max="8" width="12.33203125" style="1" bestFit="1" customWidth="1"/>
    <col min="9" max="11" width="14.33203125" style="1" bestFit="1" customWidth="1"/>
    <col min="12" max="12" width="14.33203125" style="1" customWidth="1"/>
    <col min="13" max="13" width="17.33203125" style="1" customWidth="1"/>
    <col min="14" max="17" width="12.33203125" style="1" bestFit="1" customWidth="1"/>
    <col min="18" max="18" width="14.33203125" style="1" bestFit="1" customWidth="1"/>
    <col min="19" max="19" width="12.58203125" style="1" customWidth="1"/>
    <col min="20" max="20" width="10.33203125" style="1" bestFit="1" customWidth="1"/>
    <col min="21" max="21" width="8.5" style="1" bestFit="1" customWidth="1"/>
    <col min="22" max="22" width="12.33203125" style="1" bestFit="1" customWidth="1"/>
    <col min="23" max="23" width="10.33203125" style="1" bestFit="1" customWidth="1"/>
    <col min="24" max="24" width="8.5" style="1" bestFit="1" customWidth="1"/>
    <col min="25" max="25" width="11.08203125" style="1" bestFit="1" customWidth="1"/>
    <col min="26" max="26" width="10.33203125" style="1" bestFit="1" customWidth="1"/>
    <col min="27" max="27" width="8.5" style="1" bestFit="1" customWidth="1"/>
    <col min="28" max="28" width="10.33203125" style="1" bestFit="1" customWidth="1"/>
    <col min="29" max="29" width="8.5" style="1" bestFit="1" customWidth="1"/>
    <col min="30" max="30" width="11.83203125" style="1" bestFit="1" customWidth="1"/>
    <col min="31" max="31" width="8.5" style="1" bestFit="1" customWidth="1"/>
    <col min="32" max="32" width="11.83203125" style="1" bestFit="1" customWidth="1"/>
    <col min="33" max="33" width="8.5" style="1" bestFit="1" customWidth="1"/>
    <col min="34" max="16384" width="8.58203125" style="1"/>
  </cols>
  <sheetData>
    <row r="1" spans="1:36" x14ac:dyDescent="0.35">
      <c r="A1" s="432" t="s">
        <v>438</v>
      </c>
    </row>
    <row r="3" spans="1:36" s="8" customFormat="1" ht="20.149999999999999" customHeight="1" x14ac:dyDescent="0.45">
      <c r="A3" s="6" t="s">
        <v>114</v>
      </c>
    </row>
    <row r="4" spans="1:36" s="8" customFormat="1" ht="20.149999999999999" customHeight="1" x14ac:dyDescent="0.45">
      <c r="A4" s="6" t="s">
        <v>1046</v>
      </c>
    </row>
    <row r="5" spans="1:36" s="8" customFormat="1" ht="14.5" customHeight="1" x14ac:dyDescent="0.35">
      <c r="A5" s="7"/>
    </row>
    <row r="6" spans="1:36" s="5" customFormat="1" ht="14.5" customHeight="1" x14ac:dyDescent="0.35">
      <c r="A6" s="16" t="s">
        <v>1045</v>
      </c>
    </row>
    <row r="7" spans="1:36" s="5" customFormat="1" x14ac:dyDescent="0.35">
      <c r="A7" s="30" t="s">
        <v>1108</v>
      </c>
      <c r="B7" s="3"/>
      <c r="C7" s="1"/>
    </row>
    <row r="8" spans="1:36" s="22" customFormat="1" x14ac:dyDescent="0.35">
      <c r="A8" s="30" t="s">
        <v>1019</v>
      </c>
      <c r="B8" s="30"/>
      <c r="C8" s="666" t="s">
        <v>51</v>
      </c>
      <c r="D8" s="667"/>
      <c r="E8" s="667"/>
      <c r="F8" s="667"/>
      <c r="G8" s="667"/>
      <c r="H8" s="667"/>
      <c r="I8" s="667"/>
      <c r="J8" s="667"/>
      <c r="K8" s="667"/>
      <c r="L8" s="668"/>
      <c r="M8" s="666" t="s">
        <v>52</v>
      </c>
      <c r="N8" s="667"/>
      <c r="O8" s="667"/>
      <c r="P8" s="667"/>
      <c r="Q8" s="667"/>
      <c r="R8" s="667"/>
      <c r="S8" s="668"/>
      <c r="T8" s="666" t="s">
        <v>55</v>
      </c>
      <c r="U8" s="667"/>
      <c r="V8" s="667"/>
      <c r="W8" s="667"/>
      <c r="X8" s="667"/>
      <c r="Y8" s="668"/>
      <c r="Z8" s="5"/>
      <c r="AA8" s="5"/>
      <c r="AB8" s="5"/>
      <c r="AC8" s="5"/>
      <c r="AD8" s="666" t="s">
        <v>53</v>
      </c>
      <c r="AE8" s="667"/>
      <c r="AF8" s="668"/>
    </row>
    <row r="9" spans="1:36" s="21" customFormat="1" ht="43.5" x14ac:dyDescent="0.55000000000000004">
      <c r="C9" s="276" t="s">
        <v>1047</v>
      </c>
      <c r="D9" s="276" t="s">
        <v>1048</v>
      </c>
      <c r="E9" s="276" t="s">
        <v>1049</v>
      </c>
      <c r="F9" s="276" t="s">
        <v>1050</v>
      </c>
      <c r="G9" s="276" t="s">
        <v>1051</v>
      </c>
      <c r="H9" s="276" t="s">
        <v>1052</v>
      </c>
      <c r="I9" s="276" t="s">
        <v>1053</v>
      </c>
      <c r="J9" s="276" t="s">
        <v>1054</v>
      </c>
      <c r="K9" s="276" t="s">
        <v>1055</v>
      </c>
      <c r="L9" s="284" t="s">
        <v>31</v>
      </c>
      <c r="M9" s="276" t="s">
        <v>1056</v>
      </c>
      <c r="N9" s="276" t="s">
        <v>1057</v>
      </c>
      <c r="O9" s="276" t="s">
        <v>1058</v>
      </c>
      <c r="P9" s="276" t="s">
        <v>1059</v>
      </c>
      <c r="Q9" s="276" t="s">
        <v>1060</v>
      </c>
      <c r="R9" s="276" t="s">
        <v>1061</v>
      </c>
      <c r="S9" s="284" t="s">
        <v>31</v>
      </c>
      <c r="T9" s="276" t="s">
        <v>1062</v>
      </c>
      <c r="U9" s="276" t="s">
        <v>1063</v>
      </c>
      <c r="V9" s="276" t="s">
        <v>1064</v>
      </c>
      <c r="W9" s="276" t="s">
        <v>1065</v>
      </c>
      <c r="X9" s="276" t="s">
        <v>1066</v>
      </c>
      <c r="Y9" s="284" t="s">
        <v>31</v>
      </c>
      <c r="Z9" s="276" t="s">
        <v>1067</v>
      </c>
      <c r="AA9" s="276" t="s">
        <v>1068</v>
      </c>
      <c r="AB9" s="276" t="s">
        <v>1069</v>
      </c>
      <c r="AC9" s="276" t="s">
        <v>1070</v>
      </c>
      <c r="AD9" s="276" t="s">
        <v>1071</v>
      </c>
      <c r="AE9" s="276" t="s">
        <v>1072</v>
      </c>
      <c r="AF9" s="284" t="s">
        <v>31</v>
      </c>
      <c r="AG9" s="276" t="s">
        <v>54</v>
      </c>
    </row>
    <row r="10" spans="1:36" s="255" customFormat="1" ht="20.149999999999999" customHeight="1" x14ac:dyDescent="0.55000000000000004">
      <c r="A10" s="21"/>
      <c r="B10" s="517" t="s">
        <v>1127</v>
      </c>
      <c r="C10" s="258">
        <f>SUM(C12:C20)</f>
        <v>1723322547</v>
      </c>
      <c r="D10" s="259">
        <f t="shared" ref="D10:S10" si="0">SUM(D12:D20)</f>
        <v>11305</v>
      </c>
      <c r="E10" s="259">
        <f t="shared" si="0"/>
        <v>0</v>
      </c>
      <c r="F10" s="259">
        <f t="shared" si="0"/>
        <v>1723333852</v>
      </c>
      <c r="G10" s="259">
        <f t="shared" si="0"/>
        <v>1296909</v>
      </c>
      <c r="H10" s="259">
        <f t="shared" si="0"/>
        <v>53048773</v>
      </c>
      <c r="I10" s="259">
        <f t="shared" si="0"/>
        <v>55368312</v>
      </c>
      <c r="J10" s="259">
        <f t="shared" si="0"/>
        <v>7377215</v>
      </c>
      <c r="K10" s="259">
        <f t="shared" si="0"/>
        <v>3183139</v>
      </c>
      <c r="L10" s="260">
        <f t="shared" si="0"/>
        <v>1843608200</v>
      </c>
      <c r="M10" s="259">
        <f t="shared" si="0"/>
        <v>137866712</v>
      </c>
      <c r="N10" s="259">
        <f t="shared" si="0"/>
        <v>88641</v>
      </c>
      <c r="O10" s="259">
        <f t="shared" si="0"/>
        <v>2074464</v>
      </c>
      <c r="P10" s="259">
        <f t="shared" si="0"/>
        <v>2214431</v>
      </c>
      <c r="Q10" s="259">
        <f t="shared" si="0"/>
        <v>294810</v>
      </c>
      <c r="R10" s="259">
        <f t="shared" si="0"/>
        <v>127277</v>
      </c>
      <c r="S10" s="260">
        <f t="shared" si="0"/>
        <v>142666335</v>
      </c>
      <c r="T10" s="272">
        <f>SUM(T12:T20)</f>
        <v>1638781</v>
      </c>
      <c r="U10" s="272">
        <f t="shared" ref="U10:AF10" si="1">SUM(U12:U20)</f>
        <v>284980</v>
      </c>
      <c r="V10" s="272">
        <f t="shared" si="1"/>
        <v>1365694</v>
      </c>
      <c r="W10" s="272">
        <f t="shared" si="1"/>
        <v>9296477</v>
      </c>
      <c r="X10" s="272">
        <f t="shared" si="1"/>
        <v>94606</v>
      </c>
      <c r="Y10" s="266">
        <f t="shared" si="1"/>
        <v>12680538</v>
      </c>
      <c r="Z10" s="272">
        <f t="shared" si="1"/>
        <v>1209</v>
      </c>
      <c r="AA10" s="272">
        <f t="shared" si="1"/>
        <v>280111</v>
      </c>
      <c r="AB10" s="272">
        <f t="shared" si="1"/>
        <v>299494</v>
      </c>
      <c r="AC10" s="266">
        <f t="shared" si="1"/>
        <v>43786</v>
      </c>
      <c r="AD10" s="272">
        <f t="shared" si="1"/>
        <v>120840009</v>
      </c>
      <c r="AE10" s="272">
        <f t="shared" si="1"/>
        <v>383</v>
      </c>
      <c r="AF10" s="266">
        <f t="shared" si="1"/>
        <v>120840392</v>
      </c>
      <c r="AG10" s="569">
        <f>ROUND(M10/F10*100,1)</f>
        <v>8</v>
      </c>
      <c r="AH10" s="28"/>
      <c r="AI10" s="28"/>
      <c r="AJ10" s="28"/>
    </row>
    <row r="11" spans="1:36" s="255" customFormat="1" ht="20.149999999999999" customHeight="1" x14ac:dyDescent="0.55000000000000004">
      <c r="A11" s="21"/>
      <c r="B11" s="545" t="s">
        <v>1100</v>
      </c>
      <c r="C11" s="12"/>
      <c r="D11" s="11"/>
      <c r="E11" s="11"/>
      <c r="F11" s="11"/>
      <c r="G11" s="11"/>
      <c r="H11" s="11"/>
      <c r="I11" s="11"/>
      <c r="J11" s="11"/>
      <c r="K11" s="11"/>
      <c r="L11" s="256"/>
      <c r="M11" s="11"/>
      <c r="N11" s="11"/>
      <c r="O11" s="11"/>
      <c r="P11" s="11"/>
      <c r="Q11" s="11"/>
      <c r="R11" s="11"/>
      <c r="S11" s="256"/>
      <c r="T11" s="269"/>
      <c r="U11" s="269"/>
      <c r="V11" s="269"/>
      <c r="W11" s="269"/>
      <c r="X11" s="269"/>
      <c r="Y11" s="270"/>
      <c r="Z11" s="269"/>
      <c r="AA11" s="269"/>
      <c r="AB11" s="269"/>
      <c r="AC11" s="270"/>
      <c r="AD11" s="269"/>
      <c r="AE11" s="269"/>
      <c r="AF11" s="270"/>
      <c r="AG11" s="550"/>
      <c r="AH11" s="28"/>
      <c r="AI11" s="28"/>
      <c r="AJ11" s="28"/>
    </row>
    <row r="12" spans="1:36" s="255" customFormat="1" ht="20.149999999999999" customHeight="1" outlineLevel="1" x14ac:dyDescent="0.55000000000000004">
      <c r="A12" s="34"/>
      <c r="B12" s="544" t="s">
        <v>41</v>
      </c>
      <c r="C12" s="563">
        <v>6446</v>
      </c>
      <c r="D12" s="269">
        <v>0</v>
      </c>
      <c r="E12" s="570">
        <v>0</v>
      </c>
      <c r="F12" s="269">
        <f t="shared" ref="F12:F20" si="2">SUM(C12:E12)</f>
        <v>6446</v>
      </c>
      <c r="G12" s="571">
        <v>122760</v>
      </c>
      <c r="H12" s="269">
        <v>15812311</v>
      </c>
      <c r="I12" s="269">
        <v>6366711</v>
      </c>
      <c r="J12" s="572">
        <v>214329</v>
      </c>
      <c r="K12" s="572">
        <v>555332</v>
      </c>
      <c r="L12" s="270">
        <f t="shared" ref="L12:L20" si="3">SUM(F12:K12)</f>
        <v>23077889</v>
      </c>
      <c r="M12" s="269">
        <v>516</v>
      </c>
      <c r="N12" s="269">
        <v>8618</v>
      </c>
      <c r="O12" s="269">
        <v>636380</v>
      </c>
      <c r="P12" s="269">
        <v>254651</v>
      </c>
      <c r="Q12" s="269">
        <v>8568</v>
      </c>
      <c r="R12" s="269">
        <v>22210</v>
      </c>
      <c r="S12" s="270">
        <f t="shared" ref="S12:S20" si="4">SUM(M12:R12)</f>
        <v>930943</v>
      </c>
      <c r="T12" s="269">
        <v>189</v>
      </c>
      <c r="U12" s="269">
        <v>346</v>
      </c>
      <c r="V12" s="269">
        <v>0</v>
      </c>
      <c r="W12" s="269">
        <v>21567</v>
      </c>
      <c r="X12" s="269">
        <v>8</v>
      </c>
      <c r="Y12" s="270">
        <f t="shared" ref="Y12:Y20" si="5">SUM(T12:X12)</f>
        <v>22110</v>
      </c>
      <c r="Z12" s="269">
        <v>0</v>
      </c>
      <c r="AA12" s="549">
        <v>5515</v>
      </c>
      <c r="AB12" s="269">
        <v>21666</v>
      </c>
      <c r="AC12" s="270">
        <v>87</v>
      </c>
      <c r="AD12" s="269">
        <v>881563</v>
      </c>
      <c r="AE12" s="269">
        <v>2</v>
      </c>
      <c r="AF12" s="270">
        <f t="shared" ref="AF12:AF20" si="6">SUM(AD12:AE12)</f>
        <v>881565</v>
      </c>
      <c r="AG12" s="550">
        <f>ROUND(M12/F12*100,1)</f>
        <v>8</v>
      </c>
      <c r="AH12" s="27"/>
      <c r="AI12" s="27"/>
      <c r="AJ12" s="27"/>
    </row>
    <row r="13" spans="1:36" s="255" customFormat="1" ht="20.149999999999999" customHeight="1" outlineLevel="1" x14ac:dyDescent="0.55000000000000004">
      <c r="A13" s="34"/>
      <c r="B13" s="545" t="s">
        <v>42</v>
      </c>
      <c r="C13" s="564">
        <v>110002075</v>
      </c>
      <c r="D13" s="23">
        <v>0</v>
      </c>
      <c r="E13" s="567">
        <v>0</v>
      </c>
      <c r="F13" s="23">
        <f t="shared" si="2"/>
        <v>110002075</v>
      </c>
      <c r="G13" s="573">
        <v>81482</v>
      </c>
      <c r="H13" s="23">
        <v>8490464</v>
      </c>
      <c r="I13" s="23">
        <v>2738447</v>
      </c>
      <c r="J13" s="574">
        <v>1278603</v>
      </c>
      <c r="K13" s="574">
        <v>224481</v>
      </c>
      <c r="L13" s="271">
        <f t="shared" si="3"/>
        <v>122815552</v>
      </c>
      <c r="M13" s="23">
        <v>8800166</v>
      </c>
      <c r="N13" s="23">
        <v>5706</v>
      </c>
      <c r="O13" s="23">
        <v>329030</v>
      </c>
      <c r="P13" s="23">
        <v>109495</v>
      </c>
      <c r="Q13" s="23">
        <v>51104</v>
      </c>
      <c r="R13" s="23">
        <v>8974</v>
      </c>
      <c r="S13" s="271">
        <f t="shared" si="4"/>
        <v>9304475</v>
      </c>
      <c r="T13" s="23">
        <v>544661</v>
      </c>
      <c r="U13" s="23">
        <v>9479</v>
      </c>
      <c r="V13" s="23">
        <v>60457</v>
      </c>
      <c r="W13" s="23">
        <v>135881</v>
      </c>
      <c r="X13" s="23">
        <v>442</v>
      </c>
      <c r="Y13" s="271">
        <f t="shared" si="5"/>
        <v>750920</v>
      </c>
      <c r="Z13" s="23">
        <v>715</v>
      </c>
      <c r="AA13" s="29">
        <v>42470</v>
      </c>
      <c r="AB13" s="23">
        <v>25089</v>
      </c>
      <c r="AC13" s="271">
        <v>24248</v>
      </c>
      <c r="AD13" s="23">
        <v>6260598</v>
      </c>
      <c r="AE13" s="23">
        <v>381</v>
      </c>
      <c r="AF13" s="271">
        <f t="shared" si="6"/>
        <v>6260979</v>
      </c>
      <c r="AG13" s="286">
        <f t="shared" ref="AG13:AG20" si="7">ROUND(M13/F13*100,1)</f>
        <v>8</v>
      </c>
      <c r="AH13" s="27"/>
      <c r="AI13" s="27"/>
      <c r="AJ13" s="27"/>
    </row>
    <row r="14" spans="1:36" s="255" customFormat="1" ht="20.149999999999999" customHeight="1" outlineLevel="1" x14ac:dyDescent="0.55000000000000004">
      <c r="A14" s="34"/>
      <c r="B14" s="545" t="s">
        <v>43</v>
      </c>
      <c r="C14" s="564">
        <v>268584180</v>
      </c>
      <c r="D14" s="23">
        <v>440</v>
      </c>
      <c r="E14" s="567">
        <v>0</v>
      </c>
      <c r="F14" s="23">
        <f t="shared" si="2"/>
        <v>268584620</v>
      </c>
      <c r="G14" s="573">
        <v>31709</v>
      </c>
      <c r="H14" s="23">
        <v>6153514</v>
      </c>
      <c r="I14" s="23">
        <v>4131711</v>
      </c>
      <c r="J14" s="574">
        <v>527084</v>
      </c>
      <c r="K14" s="574">
        <v>544184</v>
      </c>
      <c r="L14" s="271">
        <f t="shared" si="3"/>
        <v>279972822</v>
      </c>
      <c r="M14" s="23">
        <v>21486770</v>
      </c>
      <c r="N14" s="23">
        <v>2316</v>
      </c>
      <c r="O14" s="23">
        <v>233047</v>
      </c>
      <c r="P14" s="23">
        <v>165219</v>
      </c>
      <c r="Q14" s="23">
        <v>21036</v>
      </c>
      <c r="R14" s="23">
        <v>21759</v>
      </c>
      <c r="S14" s="271">
        <f t="shared" si="4"/>
        <v>21930147</v>
      </c>
      <c r="T14" s="23">
        <v>535605</v>
      </c>
      <c r="U14" s="23">
        <v>21174</v>
      </c>
      <c r="V14" s="23">
        <v>471645</v>
      </c>
      <c r="W14" s="23">
        <v>673262</v>
      </c>
      <c r="X14" s="23">
        <v>4855</v>
      </c>
      <c r="Y14" s="271">
        <f t="shared" si="5"/>
        <v>1706541</v>
      </c>
      <c r="Z14" s="23">
        <v>444</v>
      </c>
      <c r="AA14" s="29">
        <v>33230</v>
      </c>
      <c r="AB14" s="23">
        <v>31778</v>
      </c>
      <c r="AC14" s="271">
        <v>12861</v>
      </c>
      <c r="AD14" s="23">
        <v>17984531</v>
      </c>
      <c r="AE14" s="23">
        <v>0</v>
      </c>
      <c r="AF14" s="271">
        <f t="shared" si="6"/>
        <v>17984531</v>
      </c>
      <c r="AG14" s="286">
        <f t="shared" si="7"/>
        <v>8</v>
      </c>
      <c r="AH14" s="27"/>
      <c r="AI14" s="27"/>
      <c r="AJ14" s="27"/>
    </row>
    <row r="15" spans="1:36" s="255" customFormat="1" ht="20.149999999999999" customHeight="1" outlineLevel="1" x14ac:dyDescent="0.55000000000000004">
      <c r="A15" s="34"/>
      <c r="B15" s="545" t="s">
        <v>44</v>
      </c>
      <c r="C15" s="564">
        <v>280600309</v>
      </c>
      <c r="D15" s="23">
        <v>4633</v>
      </c>
      <c r="E15" s="567">
        <v>0</v>
      </c>
      <c r="F15" s="23">
        <f t="shared" si="2"/>
        <v>280604942</v>
      </c>
      <c r="G15" s="573">
        <v>50231</v>
      </c>
      <c r="H15" s="23">
        <v>5666734</v>
      </c>
      <c r="I15" s="23">
        <v>3320596</v>
      </c>
      <c r="J15" s="574">
        <v>473233</v>
      </c>
      <c r="K15" s="574">
        <v>262985</v>
      </c>
      <c r="L15" s="271">
        <f t="shared" si="3"/>
        <v>290378721</v>
      </c>
      <c r="M15" s="23">
        <v>22448396</v>
      </c>
      <c r="N15" s="23">
        <v>3626</v>
      </c>
      <c r="O15" s="23">
        <v>222125</v>
      </c>
      <c r="P15" s="23">
        <v>132781</v>
      </c>
      <c r="Q15" s="23">
        <v>18895</v>
      </c>
      <c r="R15" s="23">
        <v>10512</v>
      </c>
      <c r="S15" s="271">
        <f t="shared" si="4"/>
        <v>22836335</v>
      </c>
      <c r="T15" s="23">
        <v>240294</v>
      </c>
      <c r="U15" s="23">
        <v>19876</v>
      </c>
      <c r="V15" s="23">
        <v>619758</v>
      </c>
      <c r="W15" s="23">
        <v>1124696</v>
      </c>
      <c r="X15" s="23">
        <v>581</v>
      </c>
      <c r="Y15" s="271">
        <f t="shared" si="5"/>
        <v>2005205</v>
      </c>
      <c r="Z15" s="23">
        <v>50</v>
      </c>
      <c r="AA15" s="29">
        <v>31826</v>
      </c>
      <c r="AB15" s="23">
        <v>26801</v>
      </c>
      <c r="AC15" s="271">
        <v>6362</v>
      </c>
      <c r="AD15" s="23">
        <v>19228034</v>
      </c>
      <c r="AE15" s="23">
        <v>0</v>
      </c>
      <c r="AF15" s="271">
        <f t="shared" si="6"/>
        <v>19228034</v>
      </c>
      <c r="AG15" s="286">
        <f t="shared" si="7"/>
        <v>8</v>
      </c>
      <c r="AH15" s="27"/>
      <c r="AI15" s="27"/>
      <c r="AJ15" s="27"/>
    </row>
    <row r="16" spans="1:36" s="255" customFormat="1" ht="20.149999999999999" customHeight="1" outlineLevel="1" x14ac:dyDescent="0.55000000000000004">
      <c r="A16" s="34"/>
      <c r="B16" s="545" t="s">
        <v>45</v>
      </c>
      <c r="C16" s="564">
        <v>214491795</v>
      </c>
      <c r="D16" s="23">
        <v>0</v>
      </c>
      <c r="E16" s="567">
        <v>0</v>
      </c>
      <c r="F16" s="23">
        <f t="shared" si="2"/>
        <v>214491795</v>
      </c>
      <c r="G16" s="573">
        <v>42793</v>
      </c>
      <c r="H16" s="23">
        <v>2791917</v>
      </c>
      <c r="I16" s="23">
        <v>2367595</v>
      </c>
      <c r="J16" s="574">
        <v>421740</v>
      </c>
      <c r="K16" s="574">
        <v>207392</v>
      </c>
      <c r="L16" s="271">
        <f t="shared" si="3"/>
        <v>220323232</v>
      </c>
      <c r="M16" s="23">
        <v>17159343</v>
      </c>
      <c r="N16" s="23">
        <v>2793</v>
      </c>
      <c r="O16" s="23">
        <v>108299</v>
      </c>
      <c r="P16" s="23">
        <v>94671</v>
      </c>
      <c r="Q16" s="23">
        <v>16839</v>
      </c>
      <c r="R16" s="23">
        <v>8290</v>
      </c>
      <c r="S16" s="271">
        <f t="shared" si="4"/>
        <v>17390235</v>
      </c>
      <c r="T16" s="23">
        <v>122972</v>
      </c>
      <c r="U16" s="23">
        <v>18754</v>
      </c>
      <c r="V16" s="23">
        <v>204467</v>
      </c>
      <c r="W16" s="23">
        <v>1098159</v>
      </c>
      <c r="X16" s="23">
        <v>975</v>
      </c>
      <c r="Y16" s="271">
        <f t="shared" si="5"/>
        <v>1445327</v>
      </c>
      <c r="Z16" s="23">
        <v>0</v>
      </c>
      <c r="AA16" s="29">
        <v>27727</v>
      </c>
      <c r="AB16" s="23">
        <v>24413</v>
      </c>
      <c r="AC16" s="271">
        <v>0</v>
      </c>
      <c r="AD16" s="23">
        <v>14902939</v>
      </c>
      <c r="AE16" s="23">
        <v>0</v>
      </c>
      <c r="AF16" s="271">
        <f t="shared" si="6"/>
        <v>14902939</v>
      </c>
      <c r="AG16" s="286">
        <f t="shared" si="7"/>
        <v>8</v>
      </c>
      <c r="AH16" s="27"/>
      <c r="AI16" s="27"/>
      <c r="AJ16" s="27"/>
    </row>
    <row r="17" spans="1:36" s="255" customFormat="1" ht="20.149999999999999" customHeight="1" outlineLevel="1" x14ac:dyDescent="0.55000000000000004">
      <c r="A17" s="34"/>
      <c r="B17" s="545" t="s">
        <v>46</v>
      </c>
      <c r="C17" s="564">
        <v>219246501</v>
      </c>
      <c r="D17" s="23">
        <v>4450</v>
      </c>
      <c r="E17" s="567">
        <v>0</v>
      </c>
      <c r="F17" s="23">
        <f t="shared" si="2"/>
        <v>219250951</v>
      </c>
      <c r="G17" s="573">
        <v>122238</v>
      </c>
      <c r="H17" s="23">
        <v>4204386</v>
      </c>
      <c r="I17" s="23">
        <v>2554614</v>
      </c>
      <c r="J17" s="574">
        <v>483970</v>
      </c>
      <c r="K17" s="574">
        <v>368136</v>
      </c>
      <c r="L17" s="271">
        <f t="shared" si="3"/>
        <v>226984295</v>
      </c>
      <c r="M17" s="23">
        <v>17540077</v>
      </c>
      <c r="N17" s="23">
        <v>8811</v>
      </c>
      <c r="O17" s="23">
        <v>163552</v>
      </c>
      <c r="P17" s="23">
        <v>102152</v>
      </c>
      <c r="Q17" s="23">
        <v>19329</v>
      </c>
      <c r="R17" s="23">
        <v>14719</v>
      </c>
      <c r="S17" s="271">
        <f t="shared" si="4"/>
        <v>17848640</v>
      </c>
      <c r="T17" s="23">
        <v>94592</v>
      </c>
      <c r="U17" s="23">
        <v>17635</v>
      </c>
      <c r="V17" s="23">
        <v>9027</v>
      </c>
      <c r="W17" s="23">
        <v>1369730</v>
      </c>
      <c r="X17" s="23">
        <v>869</v>
      </c>
      <c r="Y17" s="271">
        <f t="shared" si="5"/>
        <v>1491853</v>
      </c>
      <c r="Z17" s="23">
        <v>0</v>
      </c>
      <c r="AA17" s="29">
        <v>27033</v>
      </c>
      <c r="AB17" s="23">
        <v>25521</v>
      </c>
      <c r="AC17" s="271">
        <v>228</v>
      </c>
      <c r="AD17" s="23">
        <v>15464995</v>
      </c>
      <c r="AE17" s="23">
        <v>0</v>
      </c>
      <c r="AF17" s="271">
        <f t="shared" si="6"/>
        <v>15464995</v>
      </c>
      <c r="AG17" s="286">
        <f t="shared" si="7"/>
        <v>8</v>
      </c>
      <c r="AH17" s="27"/>
      <c r="AI17" s="27"/>
      <c r="AJ17" s="27"/>
    </row>
    <row r="18" spans="1:36" s="255" customFormat="1" ht="20.149999999999999" customHeight="1" outlineLevel="1" x14ac:dyDescent="0.55000000000000004">
      <c r="A18" s="34"/>
      <c r="B18" s="545" t="s">
        <v>47</v>
      </c>
      <c r="C18" s="564">
        <v>116458003</v>
      </c>
      <c r="D18" s="23">
        <v>0</v>
      </c>
      <c r="E18" s="567">
        <v>0</v>
      </c>
      <c r="F18" s="23">
        <f t="shared" si="2"/>
        <v>116458003</v>
      </c>
      <c r="G18" s="573">
        <v>30874</v>
      </c>
      <c r="H18" s="23">
        <v>1858338</v>
      </c>
      <c r="I18" s="23">
        <v>1588517</v>
      </c>
      <c r="J18" s="574">
        <v>419290</v>
      </c>
      <c r="K18" s="574">
        <v>211578</v>
      </c>
      <c r="L18" s="271">
        <f t="shared" si="3"/>
        <v>120566600</v>
      </c>
      <c r="M18" s="23">
        <v>9316641</v>
      </c>
      <c r="N18" s="23">
        <v>2148</v>
      </c>
      <c r="O18" s="23">
        <v>71042</v>
      </c>
      <c r="P18" s="23">
        <v>63524</v>
      </c>
      <c r="Q18" s="23">
        <v>16754</v>
      </c>
      <c r="R18" s="23">
        <v>8460</v>
      </c>
      <c r="S18" s="271">
        <f t="shared" si="4"/>
        <v>9478569</v>
      </c>
      <c r="T18" s="23">
        <v>37770</v>
      </c>
      <c r="U18" s="23">
        <v>15192</v>
      </c>
      <c r="V18" s="23">
        <v>233</v>
      </c>
      <c r="W18" s="23">
        <v>824402</v>
      </c>
      <c r="X18" s="23">
        <v>390</v>
      </c>
      <c r="Y18" s="271">
        <f t="shared" si="5"/>
        <v>877987</v>
      </c>
      <c r="Z18" s="23">
        <v>0</v>
      </c>
      <c r="AA18" s="29">
        <v>22405</v>
      </c>
      <c r="AB18" s="23">
        <v>27473</v>
      </c>
      <c r="AC18" s="271">
        <v>0</v>
      </c>
      <c r="AD18" s="23">
        <v>8205117</v>
      </c>
      <c r="AE18" s="23">
        <v>0</v>
      </c>
      <c r="AF18" s="271">
        <f t="shared" si="6"/>
        <v>8205117</v>
      </c>
      <c r="AG18" s="286">
        <f t="shared" si="7"/>
        <v>8</v>
      </c>
      <c r="AH18" s="27"/>
      <c r="AI18" s="27"/>
      <c r="AJ18" s="27"/>
    </row>
    <row r="19" spans="1:36" s="255" customFormat="1" ht="20.149999999999999" customHeight="1" outlineLevel="1" x14ac:dyDescent="0.55000000000000004">
      <c r="A19" s="34"/>
      <c r="B19" s="545" t="s">
        <v>48</v>
      </c>
      <c r="C19" s="564">
        <v>142222991</v>
      </c>
      <c r="D19" s="23">
        <v>0</v>
      </c>
      <c r="E19" s="567">
        <v>0</v>
      </c>
      <c r="F19" s="23">
        <f t="shared" si="2"/>
        <v>142222991</v>
      </c>
      <c r="G19" s="573">
        <v>28777</v>
      </c>
      <c r="H19" s="23">
        <v>2605006</v>
      </c>
      <c r="I19" s="23">
        <v>4982657</v>
      </c>
      <c r="J19" s="574">
        <v>559287</v>
      </c>
      <c r="K19" s="574">
        <v>274214</v>
      </c>
      <c r="L19" s="271">
        <f t="shared" si="3"/>
        <v>150672932</v>
      </c>
      <c r="M19" s="23">
        <v>11377839</v>
      </c>
      <c r="N19" s="23">
        <v>2076</v>
      </c>
      <c r="O19" s="23">
        <v>97993</v>
      </c>
      <c r="P19" s="23">
        <v>199284</v>
      </c>
      <c r="Q19" s="23">
        <v>22349</v>
      </c>
      <c r="R19" s="23">
        <v>10965</v>
      </c>
      <c r="S19" s="271">
        <f t="shared" si="4"/>
        <v>11710506</v>
      </c>
      <c r="T19" s="23">
        <v>34142</v>
      </c>
      <c r="U19" s="23">
        <v>17646</v>
      </c>
      <c r="V19" s="23">
        <v>107</v>
      </c>
      <c r="W19" s="23">
        <v>1069238</v>
      </c>
      <c r="X19" s="23">
        <v>1328</v>
      </c>
      <c r="Y19" s="271">
        <f t="shared" si="5"/>
        <v>1122461</v>
      </c>
      <c r="Z19" s="23">
        <v>0</v>
      </c>
      <c r="AA19" s="29">
        <v>18215</v>
      </c>
      <c r="AB19" s="23">
        <v>24451</v>
      </c>
      <c r="AC19" s="271">
        <v>0</v>
      </c>
      <c r="AD19" s="23">
        <v>10264660</v>
      </c>
      <c r="AE19" s="23">
        <v>0</v>
      </c>
      <c r="AF19" s="271">
        <f t="shared" si="6"/>
        <v>10264660</v>
      </c>
      <c r="AG19" s="286">
        <f t="shared" si="7"/>
        <v>8</v>
      </c>
      <c r="AH19" s="27"/>
      <c r="AI19" s="27"/>
      <c r="AJ19" s="27"/>
    </row>
    <row r="20" spans="1:36" s="255" customFormat="1" ht="20.149999999999999" customHeight="1" outlineLevel="1" x14ac:dyDescent="0.55000000000000004">
      <c r="A20" s="21"/>
      <c r="B20" s="546" t="s">
        <v>49</v>
      </c>
      <c r="C20" s="537">
        <v>371710247</v>
      </c>
      <c r="D20" s="272">
        <v>1782</v>
      </c>
      <c r="E20" s="568">
        <v>0</v>
      </c>
      <c r="F20" s="272">
        <f t="shared" si="2"/>
        <v>371712029</v>
      </c>
      <c r="G20" s="575">
        <v>786045</v>
      </c>
      <c r="H20" s="272">
        <v>5466103</v>
      </c>
      <c r="I20" s="272">
        <v>27317464</v>
      </c>
      <c r="J20" s="576">
        <v>2999679</v>
      </c>
      <c r="K20" s="576">
        <v>534837</v>
      </c>
      <c r="L20" s="266">
        <f t="shared" si="3"/>
        <v>408816157</v>
      </c>
      <c r="M20" s="272">
        <v>29736964</v>
      </c>
      <c r="N20" s="272">
        <v>52547</v>
      </c>
      <c r="O20" s="272">
        <v>212996</v>
      </c>
      <c r="P20" s="272">
        <v>1092654</v>
      </c>
      <c r="Q20" s="272">
        <v>119936</v>
      </c>
      <c r="R20" s="272">
        <v>21388</v>
      </c>
      <c r="S20" s="266">
        <f t="shared" si="4"/>
        <v>31236485</v>
      </c>
      <c r="T20" s="272">
        <v>28556</v>
      </c>
      <c r="U20" s="272">
        <v>164878</v>
      </c>
      <c r="V20" s="272">
        <v>0</v>
      </c>
      <c r="W20" s="272">
        <v>2979542</v>
      </c>
      <c r="X20" s="272">
        <v>85158</v>
      </c>
      <c r="Y20" s="266">
        <f t="shared" si="5"/>
        <v>3258134</v>
      </c>
      <c r="Z20" s="272">
        <v>0</v>
      </c>
      <c r="AA20" s="577">
        <v>71690</v>
      </c>
      <c r="AB20" s="272">
        <v>92302</v>
      </c>
      <c r="AC20" s="266">
        <v>0</v>
      </c>
      <c r="AD20" s="272">
        <v>27647572</v>
      </c>
      <c r="AE20" s="272">
        <v>0</v>
      </c>
      <c r="AF20" s="266">
        <f t="shared" si="6"/>
        <v>27647572</v>
      </c>
      <c r="AG20" s="287">
        <f t="shared" si="7"/>
        <v>8</v>
      </c>
      <c r="AH20" s="27"/>
      <c r="AI20" s="27"/>
      <c r="AJ20" s="27"/>
    </row>
    <row r="21" spans="1:36" s="255" customFormat="1" ht="20.149999999999999" customHeight="1" x14ac:dyDescent="0.55000000000000004">
      <c r="A21" s="21"/>
      <c r="B21" s="517" t="s">
        <v>1110</v>
      </c>
      <c r="C21" s="258">
        <f>SUM(C23:C31)</f>
        <v>1679898519</v>
      </c>
      <c r="D21" s="259">
        <f t="shared" ref="D21:S21" si="8">SUM(D23:D31)</f>
        <v>13952</v>
      </c>
      <c r="E21" s="259">
        <f t="shared" si="8"/>
        <v>0</v>
      </c>
      <c r="F21" s="259">
        <f t="shared" si="8"/>
        <v>1679912471</v>
      </c>
      <c r="G21" s="259">
        <f t="shared" si="8"/>
        <v>739910</v>
      </c>
      <c r="H21" s="259">
        <f t="shared" si="8"/>
        <v>45240518</v>
      </c>
      <c r="I21" s="259">
        <f t="shared" si="8"/>
        <v>40895472</v>
      </c>
      <c r="J21" s="259">
        <f t="shared" si="8"/>
        <v>7477455</v>
      </c>
      <c r="K21" s="259">
        <f t="shared" si="8"/>
        <v>4288176</v>
      </c>
      <c r="L21" s="260">
        <f t="shared" si="8"/>
        <v>1778554002</v>
      </c>
      <c r="M21" s="259">
        <f t="shared" si="8"/>
        <v>133216327</v>
      </c>
      <c r="N21" s="259">
        <f t="shared" si="8"/>
        <v>53059</v>
      </c>
      <c r="O21" s="259">
        <f t="shared" si="8"/>
        <v>1756733</v>
      </c>
      <c r="P21" s="259">
        <f t="shared" si="8"/>
        <v>1635612</v>
      </c>
      <c r="Q21" s="259">
        <f t="shared" si="8"/>
        <v>299248</v>
      </c>
      <c r="R21" s="259">
        <f t="shared" si="8"/>
        <v>171475</v>
      </c>
      <c r="S21" s="260">
        <f t="shared" si="8"/>
        <v>137132454</v>
      </c>
      <c r="T21" s="272">
        <f>SUM(T23:T31)</f>
        <v>1785103</v>
      </c>
      <c r="U21" s="272">
        <f t="shared" ref="U21:AF21" si="9">SUM(U23:U31)</f>
        <v>207570</v>
      </c>
      <c r="V21" s="272">
        <f t="shared" si="9"/>
        <v>1609832</v>
      </c>
      <c r="W21" s="272">
        <f t="shared" si="9"/>
        <v>8278117</v>
      </c>
      <c r="X21" s="272">
        <f t="shared" si="9"/>
        <v>11684</v>
      </c>
      <c r="Y21" s="266">
        <f t="shared" si="9"/>
        <v>11892306</v>
      </c>
      <c r="Z21" s="272">
        <f t="shared" si="9"/>
        <v>6236</v>
      </c>
      <c r="AA21" s="272">
        <f t="shared" si="9"/>
        <v>195327</v>
      </c>
      <c r="AB21" s="272">
        <f t="shared" si="9"/>
        <v>151253</v>
      </c>
      <c r="AC21" s="266">
        <f t="shared" si="9"/>
        <v>45663</v>
      </c>
      <c r="AD21" s="272">
        <f t="shared" si="9"/>
        <v>124789319</v>
      </c>
      <c r="AE21" s="272">
        <f t="shared" si="9"/>
        <v>52350</v>
      </c>
      <c r="AF21" s="266">
        <f t="shared" si="9"/>
        <v>124841669</v>
      </c>
      <c r="AG21" s="569">
        <f>ROUND(M21/F21*100,1)</f>
        <v>7.9</v>
      </c>
      <c r="AH21" s="28"/>
      <c r="AI21" s="28"/>
      <c r="AJ21" s="28"/>
    </row>
    <row r="22" spans="1:36" s="255" customFormat="1" ht="20.149999999999999" customHeight="1" x14ac:dyDescent="0.55000000000000004">
      <c r="A22" s="21"/>
      <c r="B22" s="545" t="s">
        <v>1100</v>
      </c>
      <c r="C22" s="12"/>
      <c r="D22" s="11"/>
      <c r="E22" s="11"/>
      <c r="F22" s="11"/>
      <c r="G22" s="11"/>
      <c r="H22" s="11"/>
      <c r="I22" s="11"/>
      <c r="J22" s="11"/>
      <c r="K22" s="11"/>
      <c r="L22" s="256"/>
      <c r="M22" s="11"/>
      <c r="N22" s="11"/>
      <c r="O22" s="11"/>
      <c r="P22" s="11"/>
      <c r="Q22" s="11"/>
      <c r="R22" s="11"/>
      <c r="S22" s="256"/>
      <c r="T22" s="269"/>
      <c r="U22" s="269"/>
      <c r="V22" s="269"/>
      <c r="W22" s="269"/>
      <c r="X22" s="269"/>
      <c r="Y22" s="270"/>
      <c r="Z22" s="269"/>
      <c r="AA22" s="269"/>
      <c r="AB22" s="269"/>
      <c r="AC22" s="270"/>
      <c r="AD22" s="269"/>
      <c r="AE22" s="269"/>
      <c r="AF22" s="270"/>
      <c r="AG22" s="550"/>
      <c r="AH22" s="28"/>
      <c r="AI22" s="28"/>
      <c r="AJ22" s="28"/>
    </row>
    <row r="23" spans="1:36" s="255" customFormat="1" ht="20.149999999999999" hidden="1" customHeight="1" outlineLevel="1" x14ac:dyDescent="0.55000000000000004">
      <c r="A23" s="34"/>
      <c r="B23" s="544" t="s">
        <v>41</v>
      </c>
      <c r="C23" s="563">
        <v>1282661</v>
      </c>
      <c r="D23" s="269">
        <v>0</v>
      </c>
      <c r="E23" s="570">
        <v>0</v>
      </c>
      <c r="F23" s="269">
        <f t="shared" ref="F23:F31" si="10">SUM(C23:E23)</f>
        <v>1282661</v>
      </c>
      <c r="G23" s="571">
        <v>65638</v>
      </c>
      <c r="H23" s="269">
        <v>13693736</v>
      </c>
      <c r="I23" s="269">
        <v>2718058</v>
      </c>
      <c r="J23" s="572">
        <v>296755</v>
      </c>
      <c r="K23" s="572">
        <v>1144485</v>
      </c>
      <c r="L23" s="270">
        <f t="shared" ref="L23:L31" si="11">SUM(F23:K23)</f>
        <v>19201333</v>
      </c>
      <c r="M23" s="269">
        <v>101745</v>
      </c>
      <c r="N23" s="269">
        <v>4685</v>
      </c>
      <c r="O23" s="269">
        <v>524520</v>
      </c>
      <c r="P23" s="269">
        <v>108708</v>
      </c>
      <c r="Q23" s="269">
        <v>11863</v>
      </c>
      <c r="R23" s="269">
        <v>45774</v>
      </c>
      <c r="S23" s="270">
        <f t="shared" ref="S23:S31" si="12">SUM(M23:R23)</f>
        <v>797295</v>
      </c>
      <c r="T23" s="269">
        <v>42471</v>
      </c>
      <c r="U23" s="269">
        <v>458</v>
      </c>
      <c r="V23" s="269">
        <v>41</v>
      </c>
      <c r="W23" s="269">
        <v>23544</v>
      </c>
      <c r="X23" s="269">
        <v>177</v>
      </c>
      <c r="Y23" s="270">
        <f t="shared" ref="Y23:Y31" si="13">SUM(T23:X23)</f>
        <v>66691</v>
      </c>
      <c r="Z23" s="269">
        <v>82</v>
      </c>
      <c r="AA23" s="549">
        <v>5538</v>
      </c>
      <c r="AB23" s="269">
        <v>15872</v>
      </c>
      <c r="AC23" s="270">
        <v>810</v>
      </c>
      <c r="AD23" s="269">
        <v>684397</v>
      </c>
      <c r="AE23" s="269">
        <v>23905</v>
      </c>
      <c r="AF23" s="270">
        <f t="shared" ref="AF23:AF31" si="14">SUM(AD23:AE23)</f>
        <v>708302</v>
      </c>
      <c r="AG23" s="550">
        <f>ROUND(M23/F23*100,1)</f>
        <v>7.9</v>
      </c>
      <c r="AH23" s="27"/>
      <c r="AI23" s="27"/>
      <c r="AJ23" s="27"/>
    </row>
    <row r="24" spans="1:36" s="255" customFormat="1" ht="20.149999999999999" hidden="1" customHeight="1" outlineLevel="1" x14ac:dyDescent="0.55000000000000004">
      <c r="A24" s="34"/>
      <c r="B24" s="545" t="s">
        <v>42</v>
      </c>
      <c r="C24" s="564">
        <v>114261166</v>
      </c>
      <c r="D24" s="23">
        <v>1082</v>
      </c>
      <c r="E24" s="567">
        <v>0</v>
      </c>
      <c r="F24" s="23">
        <f t="shared" si="10"/>
        <v>114262248</v>
      </c>
      <c r="G24" s="573">
        <v>38379</v>
      </c>
      <c r="H24" s="23">
        <v>7847075</v>
      </c>
      <c r="I24" s="23">
        <v>1747500</v>
      </c>
      <c r="J24" s="574">
        <v>411426</v>
      </c>
      <c r="K24" s="574">
        <v>494937</v>
      </c>
      <c r="L24" s="271">
        <f t="shared" si="11"/>
        <v>124801565</v>
      </c>
      <c r="M24" s="23">
        <v>9100205</v>
      </c>
      <c r="N24" s="23">
        <v>2792</v>
      </c>
      <c r="O24" s="23">
        <v>300256</v>
      </c>
      <c r="P24" s="23">
        <v>69869</v>
      </c>
      <c r="Q24" s="23">
        <v>16415</v>
      </c>
      <c r="R24" s="23">
        <v>19791</v>
      </c>
      <c r="S24" s="271">
        <f t="shared" si="12"/>
        <v>9509328</v>
      </c>
      <c r="T24" s="23">
        <v>653922</v>
      </c>
      <c r="U24" s="23">
        <v>9042</v>
      </c>
      <c r="V24" s="23">
        <v>80696</v>
      </c>
      <c r="W24" s="23">
        <v>127934</v>
      </c>
      <c r="X24" s="23">
        <v>1593</v>
      </c>
      <c r="Y24" s="271">
        <f t="shared" si="13"/>
        <v>873187</v>
      </c>
      <c r="Z24" s="23">
        <v>4970</v>
      </c>
      <c r="AA24" s="29">
        <v>14704</v>
      </c>
      <c r="AB24" s="23">
        <v>10558</v>
      </c>
      <c r="AC24" s="271">
        <v>43290</v>
      </c>
      <c r="AD24" s="23">
        <v>8534284</v>
      </c>
      <c r="AE24" s="23">
        <v>28335</v>
      </c>
      <c r="AF24" s="271">
        <f t="shared" si="14"/>
        <v>8562619</v>
      </c>
      <c r="AG24" s="286">
        <f t="shared" ref="AG24:AG31" si="15">ROUND(M24/F24*100,1)</f>
        <v>8</v>
      </c>
      <c r="AH24" s="27"/>
      <c r="AI24" s="27"/>
      <c r="AJ24" s="27"/>
    </row>
    <row r="25" spans="1:36" s="255" customFormat="1" ht="20.149999999999999" hidden="1" customHeight="1" outlineLevel="1" x14ac:dyDescent="0.55000000000000004">
      <c r="A25" s="34"/>
      <c r="B25" s="545" t="s">
        <v>43</v>
      </c>
      <c r="C25" s="564">
        <v>270389130</v>
      </c>
      <c r="D25" s="23">
        <v>241</v>
      </c>
      <c r="E25" s="567">
        <v>0</v>
      </c>
      <c r="F25" s="23">
        <f t="shared" si="10"/>
        <v>270389371</v>
      </c>
      <c r="G25" s="573">
        <v>55633</v>
      </c>
      <c r="H25" s="23">
        <v>5930157</v>
      </c>
      <c r="I25" s="23">
        <v>2473893</v>
      </c>
      <c r="J25" s="574">
        <v>506968</v>
      </c>
      <c r="K25" s="574">
        <v>342142</v>
      </c>
      <c r="L25" s="271">
        <f t="shared" si="11"/>
        <v>279698164</v>
      </c>
      <c r="M25" s="23">
        <v>21563336</v>
      </c>
      <c r="N25" s="23">
        <v>4052</v>
      </c>
      <c r="O25" s="23">
        <v>229825</v>
      </c>
      <c r="P25" s="23">
        <v>98925</v>
      </c>
      <c r="Q25" s="23">
        <v>20244</v>
      </c>
      <c r="R25" s="23">
        <v>13678</v>
      </c>
      <c r="S25" s="271">
        <f t="shared" si="12"/>
        <v>21930060</v>
      </c>
      <c r="T25" s="23">
        <v>545177</v>
      </c>
      <c r="U25" s="23">
        <v>15185</v>
      </c>
      <c r="V25" s="23">
        <v>570498</v>
      </c>
      <c r="W25" s="23">
        <v>619844</v>
      </c>
      <c r="X25" s="23">
        <v>664</v>
      </c>
      <c r="Y25" s="271">
        <f t="shared" si="13"/>
        <v>1751368</v>
      </c>
      <c r="Z25" s="23">
        <v>1142</v>
      </c>
      <c r="AA25" s="29">
        <v>20102</v>
      </c>
      <c r="AB25" s="23">
        <v>15389</v>
      </c>
      <c r="AC25" s="271">
        <v>1277</v>
      </c>
      <c r="AD25" s="23">
        <v>20140672</v>
      </c>
      <c r="AE25" s="23">
        <v>110</v>
      </c>
      <c r="AF25" s="271">
        <f t="shared" si="14"/>
        <v>20140782</v>
      </c>
      <c r="AG25" s="286">
        <f t="shared" si="15"/>
        <v>8</v>
      </c>
      <c r="AH25" s="27"/>
      <c r="AI25" s="27"/>
      <c r="AJ25" s="27"/>
    </row>
    <row r="26" spans="1:36" s="255" customFormat="1" ht="20.149999999999999" hidden="1" customHeight="1" outlineLevel="1" x14ac:dyDescent="0.55000000000000004">
      <c r="A26" s="34"/>
      <c r="B26" s="545" t="s">
        <v>44</v>
      </c>
      <c r="C26" s="564">
        <v>275009884</v>
      </c>
      <c r="D26" s="23">
        <v>1862</v>
      </c>
      <c r="E26" s="567">
        <v>0</v>
      </c>
      <c r="F26" s="23">
        <f t="shared" si="10"/>
        <v>275011746</v>
      </c>
      <c r="G26" s="573">
        <v>82960</v>
      </c>
      <c r="H26" s="23">
        <v>3556770</v>
      </c>
      <c r="I26" s="23">
        <v>1281869</v>
      </c>
      <c r="J26" s="574">
        <v>447424</v>
      </c>
      <c r="K26" s="574">
        <v>342413</v>
      </c>
      <c r="L26" s="271">
        <f t="shared" si="11"/>
        <v>280723182</v>
      </c>
      <c r="M26" s="23">
        <v>21914810</v>
      </c>
      <c r="N26" s="23">
        <v>5997</v>
      </c>
      <c r="O26" s="23">
        <v>139643</v>
      </c>
      <c r="P26" s="23">
        <v>51248</v>
      </c>
      <c r="Q26" s="23">
        <v>17865</v>
      </c>
      <c r="R26" s="23">
        <v>13689</v>
      </c>
      <c r="S26" s="271">
        <f t="shared" si="12"/>
        <v>22143252</v>
      </c>
      <c r="T26" s="23">
        <v>236743</v>
      </c>
      <c r="U26" s="23">
        <v>12534</v>
      </c>
      <c r="V26" s="23">
        <v>718074</v>
      </c>
      <c r="W26" s="23">
        <v>1003726</v>
      </c>
      <c r="X26" s="23">
        <v>724</v>
      </c>
      <c r="Y26" s="271">
        <f t="shared" si="13"/>
        <v>1971801</v>
      </c>
      <c r="Z26" s="23">
        <v>42</v>
      </c>
      <c r="AA26" s="29">
        <v>19437</v>
      </c>
      <c r="AB26" s="23">
        <v>14815</v>
      </c>
      <c r="AC26" s="271">
        <v>286</v>
      </c>
      <c r="AD26" s="23">
        <v>20136871</v>
      </c>
      <c r="AE26" s="23">
        <v>0</v>
      </c>
      <c r="AF26" s="271">
        <f t="shared" si="14"/>
        <v>20136871</v>
      </c>
      <c r="AG26" s="286">
        <f t="shared" si="15"/>
        <v>8</v>
      </c>
      <c r="AH26" s="27"/>
      <c r="AI26" s="27"/>
      <c r="AJ26" s="27"/>
    </row>
    <row r="27" spans="1:36" s="255" customFormat="1" ht="20.149999999999999" hidden="1" customHeight="1" outlineLevel="1" x14ac:dyDescent="0.55000000000000004">
      <c r="A27" s="34"/>
      <c r="B27" s="545" t="s">
        <v>45</v>
      </c>
      <c r="C27" s="564">
        <v>207503230</v>
      </c>
      <c r="D27" s="23">
        <v>1524</v>
      </c>
      <c r="E27" s="567">
        <v>0</v>
      </c>
      <c r="F27" s="23">
        <f t="shared" si="10"/>
        <v>207504754</v>
      </c>
      <c r="G27" s="573">
        <v>79346</v>
      </c>
      <c r="H27" s="23">
        <v>2782269</v>
      </c>
      <c r="I27" s="23">
        <v>3726050</v>
      </c>
      <c r="J27" s="574">
        <v>510233</v>
      </c>
      <c r="K27" s="574">
        <v>426146</v>
      </c>
      <c r="L27" s="271">
        <f t="shared" si="11"/>
        <v>215028798</v>
      </c>
      <c r="M27" s="23">
        <v>16515368</v>
      </c>
      <c r="N27" s="23">
        <v>5417</v>
      </c>
      <c r="O27" s="23">
        <v>110040</v>
      </c>
      <c r="P27" s="23">
        <v>149019</v>
      </c>
      <c r="Q27" s="23">
        <v>20783</v>
      </c>
      <c r="R27" s="23">
        <v>17039</v>
      </c>
      <c r="S27" s="271">
        <f t="shared" si="12"/>
        <v>16817666</v>
      </c>
      <c r="T27" s="23">
        <v>119910</v>
      </c>
      <c r="U27" s="23">
        <v>10987</v>
      </c>
      <c r="V27" s="23">
        <v>229144</v>
      </c>
      <c r="W27" s="23">
        <v>973911</v>
      </c>
      <c r="X27" s="23">
        <v>1003</v>
      </c>
      <c r="Y27" s="271">
        <f t="shared" si="13"/>
        <v>1334955</v>
      </c>
      <c r="Z27" s="23">
        <v>0</v>
      </c>
      <c r="AA27" s="29">
        <v>17393</v>
      </c>
      <c r="AB27" s="23">
        <v>14935</v>
      </c>
      <c r="AC27" s="271">
        <v>0</v>
      </c>
      <c r="AD27" s="23">
        <v>15450383</v>
      </c>
      <c r="AE27" s="23">
        <v>0</v>
      </c>
      <c r="AF27" s="271">
        <f t="shared" si="14"/>
        <v>15450383</v>
      </c>
      <c r="AG27" s="286">
        <f t="shared" si="15"/>
        <v>8</v>
      </c>
      <c r="AH27" s="27"/>
      <c r="AI27" s="27"/>
      <c r="AJ27" s="27"/>
    </row>
    <row r="28" spans="1:36" s="255" customFormat="1" ht="20.149999999999999" hidden="1" customHeight="1" outlineLevel="1" x14ac:dyDescent="0.55000000000000004">
      <c r="A28" s="34"/>
      <c r="B28" s="545" t="s">
        <v>46</v>
      </c>
      <c r="C28" s="564">
        <v>211579824</v>
      </c>
      <c r="D28" s="23">
        <v>907</v>
      </c>
      <c r="E28" s="567">
        <v>0</v>
      </c>
      <c r="F28" s="23">
        <f t="shared" si="10"/>
        <v>211580731</v>
      </c>
      <c r="G28" s="573">
        <v>93142</v>
      </c>
      <c r="H28" s="23">
        <v>2705884</v>
      </c>
      <c r="I28" s="23">
        <v>1686628</v>
      </c>
      <c r="J28" s="574">
        <v>458700</v>
      </c>
      <c r="K28" s="574">
        <v>307430</v>
      </c>
      <c r="L28" s="271">
        <f t="shared" si="11"/>
        <v>216832515</v>
      </c>
      <c r="M28" s="23">
        <v>16827844</v>
      </c>
      <c r="N28" s="23">
        <v>6718</v>
      </c>
      <c r="O28" s="23">
        <v>106953</v>
      </c>
      <c r="P28" s="23">
        <v>67444</v>
      </c>
      <c r="Q28" s="23">
        <v>18323</v>
      </c>
      <c r="R28" s="23">
        <v>12291</v>
      </c>
      <c r="S28" s="271">
        <f t="shared" si="12"/>
        <v>17039573</v>
      </c>
      <c r="T28" s="23">
        <v>91380</v>
      </c>
      <c r="U28" s="23">
        <v>13924</v>
      </c>
      <c r="V28" s="23">
        <v>11116</v>
      </c>
      <c r="W28" s="23">
        <v>1209959</v>
      </c>
      <c r="X28" s="23">
        <v>1135</v>
      </c>
      <c r="Y28" s="271">
        <f t="shared" si="13"/>
        <v>1327514</v>
      </c>
      <c r="Z28" s="23">
        <v>0</v>
      </c>
      <c r="AA28" s="29">
        <v>18410</v>
      </c>
      <c r="AB28" s="23">
        <v>14036</v>
      </c>
      <c r="AC28" s="271">
        <v>0</v>
      </c>
      <c r="AD28" s="23">
        <v>15679613</v>
      </c>
      <c r="AE28" s="23">
        <v>0</v>
      </c>
      <c r="AF28" s="271">
        <f t="shared" si="14"/>
        <v>15679613</v>
      </c>
      <c r="AG28" s="286">
        <f t="shared" si="15"/>
        <v>8</v>
      </c>
      <c r="AH28" s="27"/>
      <c r="AI28" s="27"/>
      <c r="AJ28" s="27"/>
    </row>
    <row r="29" spans="1:36" s="255" customFormat="1" ht="20.149999999999999" hidden="1" customHeight="1" outlineLevel="1" x14ac:dyDescent="0.55000000000000004">
      <c r="A29" s="34"/>
      <c r="B29" s="545" t="s">
        <v>47</v>
      </c>
      <c r="C29" s="564">
        <v>111846784</v>
      </c>
      <c r="D29" s="23">
        <v>0</v>
      </c>
      <c r="E29" s="567">
        <v>0</v>
      </c>
      <c r="F29" s="23">
        <f t="shared" si="10"/>
        <v>111846784</v>
      </c>
      <c r="G29" s="573">
        <v>30717</v>
      </c>
      <c r="H29" s="23">
        <v>1689072</v>
      </c>
      <c r="I29" s="23">
        <v>1512630</v>
      </c>
      <c r="J29" s="574">
        <v>303543</v>
      </c>
      <c r="K29" s="574">
        <v>193889</v>
      </c>
      <c r="L29" s="271">
        <f t="shared" si="11"/>
        <v>115576635</v>
      </c>
      <c r="M29" s="23">
        <v>8871103</v>
      </c>
      <c r="N29" s="23">
        <v>2216</v>
      </c>
      <c r="O29" s="23">
        <v>65905</v>
      </c>
      <c r="P29" s="23">
        <v>60491</v>
      </c>
      <c r="Q29" s="23">
        <v>12126</v>
      </c>
      <c r="R29" s="23">
        <v>7753</v>
      </c>
      <c r="S29" s="271">
        <f t="shared" si="12"/>
        <v>9019594</v>
      </c>
      <c r="T29" s="23">
        <v>36362</v>
      </c>
      <c r="U29" s="23">
        <v>10566</v>
      </c>
      <c r="V29" s="23">
        <v>204</v>
      </c>
      <c r="W29" s="23">
        <v>736664</v>
      </c>
      <c r="X29" s="23">
        <v>602</v>
      </c>
      <c r="Y29" s="271">
        <f t="shared" si="13"/>
        <v>784398</v>
      </c>
      <c r="Z29" s="23">
        <v>0</v>
      </c>
      <c r="AA29" s="29">
        <v>11470</v>
      </c>
      <c r="AB29" s="23">
        <v>10327</v>
      </c>
      <c r="AC29" s="271">
        <v>0</v>
      </c>
      <c r="AD29" s="23">
        <v>8213399</v>
      </c>
      <c r="AE29" s="23">
        <v>0</v>
      </c>
      <c r="AF29" s="271">
        <f t="shared" si="14"/>
        <v>8213399</v>
      </c>
      <c r="AG29" s="286">
        <f t="shared" si="15"/>
        <v>7.9</v>
      </c>
      <c r="AH29" s="27"/>
      <c r="AI29" s="27"/>
      <c r="AJ29" s="27"/>
    </row>
    <row r="30" spans="1:36" s="255" customFormat="1" ht="20.149999999999999" hidden="1" customHeight="1" outlineLevel="1" x14ac:dyDescent="0.55000000000000004">
      <c r="A30" s="34"/>
      <c r="B30" s="545" t="s">
        <v>48</v>
      </c>
      <c r="C30" s="564">
        <v>133011783</v>
      </c>
      <c r="D30" s="23">
        <v>8336</v>
      </c>
      <c r="E30" s="567">
        <v>0</v>
      </c>
      <c r="F30" s="23">
        <f t="shared" si="10"/>
        <v>133020119</v>
      </c>
      <c r="G30" s="573">
        <v>83093</v>
      </c>
      <c r="H30" s="23">
        <v>2023109</v>
      </c>
      <c r="I30" s="23">
        <v>2271579</v>
      </c>
      <c r="J30" s="574">
        <v>435415</v>
      </c>
      <c r="K30" s="574">
        <v>272502</v>
      </c>
      <c r="L30" s="271">
        <f t="shared" si="11"/>
        <v>138105817</v>
      </c>
      <c r="M30" s="23">
        <v>10523323</v>
      </c>
      <c r="N30" s="23">
        <v>5988</v>
      </c>
      <c r="O30" s="23">
        <v>80215</v>
      </c>
      <c r="P30" s="23">
        <v>90848</v>
      </c>
      <c r="Q30" s="23">
        <v>17395</v>
      </c>
      <c r="R30" s="23">
        <v>10897</v>
      </c>
      <c r="S30" s="271">
        <f t="shared" si="12"/>
        <v>10728666</v>
      </c>
      <c r="T30" s="23">
        <v>32012</v>
      </c>
      <c r="U30" s="23">
        <v>14668</v>
      </c>
      <c r="V30" s="23">
        <v>0</v>
      </c>
      <c r="W30" s="23">
        <v>916628</v>
      </c>
      <c r="X30" s="23">
        <v>1443</v>
      </c>
      <c r="Y30" s="271">
        <f t="shared" si="13"/>
        <v>964751</v>
      </c>
      <c r="Z30" s="23">
        <v>0</v>
      </c>
      <c r="AA30" s="29">
        <v>13105</v>
      </c>
      <c r="AB30" s="23">
        <v>10106</v>
      </c>
      <c r="AC30" s="271">
        <v>0</v>
      </c>
      <c r="AD30" s="23">
        <v>9740704</v>
      </c>
      <c r="AE30" s="23">
        <v>0</v>
      </c>
      <c r="AF30" s="271">
        <f t="shared" si="14"/>
        <v>9740704</v>
      </c>
      <c r="AG30" s="286">
        <f t="shared" si="15"/>
        <v>7.9</v>
      </c>
      <c r="AH30" s="27"/>
      <c r="AI30" s="27"/>
      <c r="AJ30" s="27"/>
    </row>
    <row r="31" spans="1:36" s="255" customFormat="1" ht="20.149999999999999" hidden="1" customHeight="1" outlineLevel="1" x14ac:dyDescent="0.55000000000000004">
      <c r="A31" s="21"/>
      <c r="B31" s="546" t="s">
        <v>49</v>
      </c>
      <c r="C31" s="537">
        <v>355014057</v>
      </c>
      <c r="D31" s="272">
        <v>0</v>
      </c>
      <c r="E31" s="568">
        <v>0</v>
      </c>
      <c r="F31" s="272">
        <f t="shared" si="10"/>
        <v>355014057</v>
      </c>
      <c r="G31" s="575">
        <v>211002</v>
      </c>
      <c r="H31" s="272">
        <v>5012446</v>
      </c>
      <c r="I31" s="272">
        <v>23477265</v>
      </c>
      <c r="J31" s="576">
        <v>4106991</v>
      </c>
      <c r="K31" s="576">
        <v>764232</v>
      </c>
      <c r="L31" s="266">
        <f t="shared" si="11"/>
        <v>388585993</v>
      </c>
      <c r="M31" s="272">
        <v>27798593</v>
      </c>
      <c r="N31" s="272">
        <v>15194</v>
      </c>
      <c r="O31" s="272">
        <v>199376</v>
      </c>
      <c r="P31" s="272">
        <v>939060</v>
      </c>
      <c r="Q31" s="272">
        <v>164234</v>
      </c>
      <c r="R31" s="272">
        <v>30563</v>
      </c>
      <c r="S31" s="266">
        <f t="shared" si="12"/>
        <v>29147020</v>
      </c>
      <c r="T31" s="272">
        <v>27126</v>
      </c>
      <c r="U31" s="272">
        <v>120206</v>
      </c>
      <c r="V31" s="272">
        <v>59</v>
      </c>
      <c r="W31" s="272">
        <v>2665907</v>
      </c>
      <c r="X31" s="272">
        <v>4343</v>
      </c>
      <c r="Y31" s="266">
        <f t="shared" si="13"/>
        <v>2817641</v>
      </c>
      <c r="Z31" s="272">
        <v>0</v>
      </c>
      <c r="AA31" s="577">
        <v>75168</v>
      </c>
      <c r="AB31" s="272">
        <v>45215</v>
      </c>
      <c r="AC31" s="266">
        <v>0</v>
      </c>
      <c r="AD31" s="272">
        <v>26208996</v>
      </c>
      <c r="AE31" s="272">
        <v>0</v>
      </c>
      <c r="AF31" s="266">
        <f t="shared" si="14"/>
        <v>26208996</v>
      </c>
      <c r="AG31" s="287">
        <f t="shared" si="15"/>
        <v>7.8</v>
      </c>
      <c r="AH31" s="27"/>
      <c r="AI31" s="27"/>
      <c r="AJ31" s="27"/>
    </row>
    <row r="32" spans="1:36" s="255" customFormat="1" ht="20.149999999999999" customHeight="1" collapsed="1" x14ac:dyDescent="0.55000000000000004">
      <c r="A32" s="21"/>
      <c r="B32" s="517" t="s">
        <v>1078</v>
      </c>
      <c r="C32" s="258">
        <f>SUM(C34:C42)</f>
        <v>1652484943</v>
      </c>
      <c r="D32" s="259">
        <f>SUM(D34:D42)</f>
        <v>15061</v>
      </c>
      <c r="E32" s="259">
        <f t="shared" ref="E32:S32" si="16">SUM(E34:E42)</f>
        <v>14200</v>
      </c>
      <c r="F32" s="259">
        <f t="shared" si="16"/>
        <v>1652514204</v>
      </c>
      <c r="G32" s="259">
        <f t="shared" si="16"/>
        <v>607693</v>
      </c>
      <c r="H32" s="259">
        <f t="shared" si="16"/>
        <v>38961665</v>
      </c>
      <c r="I32" s="259">
        <f t="shared" si="16"/>
        <v>36779680</v>
      </c>
      <c r="J32" s="259">
        <f t="shared" si="16"/>
        <v>7827478</v>
      </c>
      <c r="K32" s="259">
        <f t="shared" si="16"/>
        <v>2165623</v>
      </c>
      <c r="L32" s="260">
        <f t="shared" si="16"/>
        <v>1738856343</v>
      </c>
      <c r="M32" s="259">
        <f t="shared" si="16"/>
        <v>131029365</v>
      </c>
      <c r="N32" s="259">
        <f t="shared" si="16"/>
        <v>43661</v>
      </c>
      <c r="O32" s="259">
        <f t="shared" si="16"/>
        <v>1497907</v>
      </c>
      <c r="P32" s="259">
        <f t="shared" si="16"/>
        <v>1470936</v>
      </c>
      <c r="Q32" s="259">
        <f t="shared" si="16"/>
        <v>312858</v>
      </c>
      <c r="R32" s="259">
        <f t="shared" si="16"/>
        <v>86577</v>
      </c>
      <c r="S32" s="260">
        <f t="shared" si="16"/>
        <v>134441304</v>
      </c>
      <c r="T32" s="272">
        <f>SUM(T34:T42)</f>
        <v>1797664</v>
      </c>
      <c r="U32" s="272">
        <f t="shared" ref="U32:AF32" si="17">SUM(U34:U42)</f>
        <v>169727</v>
      </c>
      <c r="V32" s="272">
        <f t="shared" si="17"/>
        <v>1728113</v>
      </c>
      <c r="W32" s="272">
        <f t="shared" si="17"/>
        <v>7165749</v>
      </c>
      <c r="X32" s="272">
        <f t="shared" si="17"/>
        <v>36319</v>
      </c>
      <c r="Y32" s="266">
        <f t="shared" si="17"/>
        <v>10897572</v>
      </c>
      <c r="Z32" s="272">
        <f t="shared" si="17"/>
        <v>7033</v>
      </c>
      <c r="AA32" s="272">
        <f t="shared" si="17"/>
        <v>196160</v>
      </c>
      <c r="AB32" s="272">
        <f t="shared" si="17"/>
        <v>271119</v>
      </c>
      <c r="AC32" s="266">
        <f t="shared" si="17"/>
        <v>53601</v>
      </c>
      <c r="AD32" s="272">
        <f t="shared" si="17"/>
        <v>122962555</v>
      </c>
      <c r="AE32" s="272">
        <f t="shared" si="17"/>
        <v>53264</v>
      </c>
      <c r="AF32" s="266">
        <f t="shared" si="17"/>
        <v>123015819</v>
      </c>
      <c r="AG32" s="569">
        <f>ROUND(M32/F32*100,1)</f>
        <v>7.9</v>
      </c>
      <c r="AH32" s="28"/>
      <c r="AI32" s="28"/>
      <c r="AJ32" s="28"/>
    </row>
    <row r="33" spans="1:36" s="255" customFormat="1" ht="20.149999999999999" customHeight="1" x14ac:dyDescent="0.55000000000000004">
      <c r="A33" s="21"/>
      <c r="B33" s="545" t="s">
        <v>1100</v>
      </c>
      <c r="C33" s="12"/>
      <c r="D33" s="11"/>
      <c r="E33" s="11"/>
      <c r="F33" s="11"/>
      <c r="G33" s="11"/>
      <c r="H33" s="11"/>
      <c r="I33" s="11"/>
      <c r="J33" s="11"/>
      <c r="K33" s="11"/>
      <c r="L33" s="256"/>
      <c r="M33" s="11"/>
      <c r="N33" s="11"/>
      <c r="O33" s="11"/>
      <c r="P33" s="11"/>
      <c r="Q33" s="11"/>
      <c r="R33" s="11"/>
      <c r="S33" s="256"/>
      <c r="T33" s="269"/>
      <c r="U33" s="269"/>
      <c r="V33" s="269"/>
      <c r="W33" s="269"/>
      <c r="X33" s="269"/>
      <c r="Y33" s="270"/>
      <c r="Z33" s="269"/>
      <c r="AA33" s="269"/>
      <c r="AB33" s="269"/>
      <c r="AC33" s="270"/>
      <c r="AD33" s="269"/>
      <c r="AE33" s="269"/>
      <c r="AF33" s="270"/>
      <c r="AG33" s="550"/>
      <c r="AH33" s="28"/>
      <c r="AI33" s="28"/>
      <c r="AJ33" s="28"/>
    </row>
    <row r="34" spans="1:36" s="255" customFormat="1" ht="20.149999999999999" hidden="1" customHeight="1" outlineLevel="1" x14ac:dyDescent="0.55000000000000004">
      <c r="A34" s="34"/>
      <c r="B34" s="544" t="s">
        <v>41</v>
      </c>
      <c r="C34" s="563">
        <v>1273760</v>
      </c>
      <c r="D34" s="269">
        <v>56</v>
      </c>
      <c r="E34" s="570">
        <v>0</v>
      </c>
      <c r="F34" s="269">
        <f t="shared" ref="F34:F42" si="18">SUM(C34:E34)</f>
        <v>1273816</v>
      </c>
      <c r="G34" s="571">
        <v>139295</v>
      </c>
      <c r="H34" s="269">
        <v>13470113</v>
      </c>
      <c r="I34" s="269">
        <v>3238983</v>
      </c>
      <c r="J34" s="572">
        <v>417137</v>
      </c>
      <c r="K34" s="572">
        <v>235043</v>
      </c>
      <c r="L34" s="270">
        <f t="shared" ref="L34:L42" si="19">SUM(F34:K34)</f>
        <v>18774387</v>
      </c>
      <c r="M34" s="269">
        <v>111723</v>
      </c>
      <c r="N34" s="269">
        <v>9837</v>
      </c>
      <c r="O34" s="269">
        <v>504834</v>
      </c>
      <c r="P34" s="269">
        <v>129539</v>
      </c>
      <c r="Q34" s="269">
        <v>16677</v>
      </c>
      <c r="R34" s="269">
        <v>9399</v>
      </c>
      <c r="S34" s="270">
        <f t="shared" ref="S34:S42" si="20">SUM(M34:R34)</f>
        <v>782009</v>
      </c>
      <c r="T34" s="269">
        <v>42176</v>
      </c>
      <c r="U34" s="269">
        <v>357</v>
      </c>
      <c r="V34" s="269">
        <v>43</v>
      </c>
      <c r="W34" s="269">
        <v>20695</v>
      </c>
      <c r="X34" s="269">
        <v>10987</v>
      </c>
      <c r="Y34" s="270">
        <f t="shared" ref="Y34:Y42" si="21">SUM(T34:X34)</f>
        <v>74258</v>
      </c>
      <c r="Z34" s="269">
        <v>99</v>
      </c>
      <c r="AA34" s="549">
        <v>9420</v>
      </c>
      <c r="AB34" s="269">
        <v>18085</v>
      </c>
      <c r="AC34" s="270">
        <v>867</v>
      </c>
      <c r="AD34" s="269">
        <v>655802</v>
      </c>
      <c r="AE34" s="269">
        <v>23478</v>
      </c>
      <c r="AF34" s="270">
        <f t="shared" ref="AF34:AF42" si="22">SUM(AD34:AE34)</f>
        <v>679280</v>
      </c>
      <c r="AG34" s="550">
        <f>ROUND(M34/F34*100,1)</f>
        <v>8.8000000000000007</v>
      </c>
      <c r="AH34" s="27"/>
      <c r="AI34" s="27"/>
      <c r="AJ34" s="27"/>
    </row>
    <row r="35" spans="1:36" s="255" customFormat="1" ht="20.149999999999999" hidden="1" customHeight="1" outlineLevel="1" x14ac:dyDescent="0.55000000000000004">
      <c r="A35" s="34"/>
      <c r="B35" s="545" t="s">
        <v>42</v>
      </c>
      <c r="C35" s="564">
        <v>116201002</v>
      </c>
      <c r="D35" s="23">
        <v>0</v>
      </c>
      <c r="E35" s="567">
        <v>0</v>
      </c>
      <c r="F35" s="23">
        <f t="shared" si="18"/>
        <v>116201002</v>
      </c>
      <c r="G35" s="573">
        <v>15434</v>
      </c>
      <c r="H35" s="23">
        <v>4743004</v>
      </c>
      <c r="I35" s="23">
        <v>1533866</v>
      </c>
      <c r="J35" s="574">
        <v>423963</v>
      </c>
      <c r="K35" s="574">
        <v>183409</v>
      </c>
      <c r="L35" s="271">
        <f t="shared" si="19"/>
        <v>123100678</v>
      </c>
      <c r="M35" s="23">
        <v>9254281</v>
      </c>
      <c r="N35" s="23">
        <v>1128</v>
      </c>
      <c r="O35" s="23">
        <v>185610</v>
      </c>
      <c r="P35" s="23">
        <v>61318</v>
      </c>
      <c r="Q35" s="23">
        <v>16917</v>
      </c>
      <c r="R35" s="23">
        <v>7330</v>
      </c>
      <c r="S35" s="271">
        <f t="shared" si="20"/>
        <v>9526584</v>
      </c>
      <c r="T35" s="23">
        <v>668236</v>
      </c>
      <c r="U35" s="23">
        <v>8310</v>
      </c>
      <c r="V35" s="23">
        <v>85947</v>
      </c>
      <c r="W35" s="23">
        <v>102474</v>
      </c>
      <c r="X35" s="23">
        <v>160</v>
      </c>
      <c r="Y35" s="271">
        <f t="shared" si="21"/>
        <v>865127</v>
      </c>
      <c r="Z35" s="23">
        <v>5423</v>
      </c>
      <c r="AA35" s="29">
        <v>15579</v>
      </c>
      <c r="AB35" s="23">
        <v>16336</v>
      </c>
      <c r="AC35" s="271">
        <v>50895</v>
      </c>
      <c r="AD35" s="23">
        <v>8544082</v>
      </c>
      <c r="AE35" s="23">
        <v>29142</v>
      </c>
      <c r="AF35" s="271">
        <f t="shared" si="22"/>
        <v>8573224</v>
      </c>
      <c r="AG35" s="286">
        <f t="shared" ref="AG35:AG42" si="23">ROUND(M35/F35*100,1)</f>
        <v>8</v>
      </c>
      <c r="AH35" s="27"/>
      <c r="AI35" s="27"/>
      <c r="AJ35" s="27"/>
    </row>
    <row r="36" spans="1:36" s="255" customFormat="1" ht="20.149999999999999" hidden="1" customHeight="1" outlineLevel="1" x14ac:dyDescent="0.55000000000000004">
      <c r="A36" s="34"/>
      <c r="B36" s="545" t="s">
        <v>43</v>
      </c>
      <c r="C36" s="564">
        <v>271722812</v>
      </c>
      <c r="D36" s="23">
        <v>1720</v>
      </c>
      <c r="E36" s="567">
        <v>0</v>
      </c>
      <c r="F36" s="23">
        <f t="shared" si="18"/>
        <v>271724532</v>
      </c>
      <c r="G36" s="573">
        <v>49554</v>
      </c>
      <c r="H36" s="23">
        <v>4902165</v>
      </c>
      <c r="I36" s="23">
        <v>2798616</v>
      </c>
      <c r="J36" s="574">
        <v>440341</v>
      </c>
      <c r="K36" s="574">
        <v>213055</v>
      </c>
      <c r="L36" s="271">
        <f t="shared" si="19"/>
        <v>280128263</v>
      </c>
      <c r="M36" s="23">
        <v>21678864</v>
      </c>
      <c r="N36" s="23">
        <v>3602</v>
      </c>
      <c r="O36" s="23">
        <v>185274</v>
      </c>
      <c r="P36" s="23">
        <v>111906</v>
      </c>
      <c r="Q36" s="23">
        <v>17577</v>
      </c>
      <c r="R36" s="23">
        <v>8515</v>
      </c>
      <c r="S36" s="271">
        <f t="shared" si="20"/>
        <v>22005738</v>
      </c>
      <c r="T36" s="23">
        <v>552071</v>
      </c>
      <c r="U36" s="23">
        <v>12728</v>
      </c>
      <c r="V36" s="23">
        <v>609053</v>
      </c>
      <c r="W36" s="23">
        <v>531658</v>
      </c>
      <c r="X36" s="23">
        <v>13177</v>
      </c>
      <c r="Y36" s="271">
        <f t="shared" si="21"/>
        <v>1718687</v>
      </c>
      <c r="Z36" s="23">
        <v>1511</v>
      </c>
      <c r="AA36" s="29">
        <v>19709</v>
      </c>
      <c r="AB36" s="23">
        <v>19840</v>
      </c>
      <c r="AC36" s="271">
        <v>1502</v>
      </c>
      <c r="AD36" s="23">
        <v>20244209</v>
      </c>
      <c r="AE36" s="23">
        <v>280</v>
      </c>
      <c r="AF36" s="271">
        <f t="shared" si="22"/>
        <v>20244489</v>
      </c>
      <c r="AG36" s="286">
        <f t="shared" si="23"/>
        <v>8</v>
      </c>
      <c r="AH36" s="27"/>
      <c r="AI36" s="27"/>
      <c r="AJ36" s="27"/>
    </row>
    <row r="37" spans="1:36" s="255" customFormat="1" ht="20.149999999999999" hidden="1" customHeight="1" outlineLevel="1" x14ac:dyDescent="0.55000000000000004">
      <c r="A37" s="34"/>
      <c r="B37" s="545" t="s">
        <v>44</v>
      </c>
      <c r="C37" s="564">
        <v>268436353</v>
      </c>
      <c r="D37" s="23">
        <v>841</v>
      </c>
      <c r="E37" s="567">
        <v>0</v>
      </c>
      <c r="F37" s="23">
        <f t="shared" si="18"/>
        <v>268437194</v>
      </c>
      <c r="G37" s="573">
        <v>33334</v>
      </c>
      <c r="H37" s="23">
        <v>3440058</v>
      </c>
      <c r="I37" s="23">
        <v>1974776</v>
      </c>
      <c r="J37" s="574">
        <v>403667</v>
      </c>
      <c r="K37" s="574">
        <v>197940</v>
      </c>
      <c r="L37" s="271">
        <f t="shared" si="19"/>
        <v>274486969</v>
      </c>
      <c r="M37" s="23">
        <v>21390705</v>
      </c>
      <c r="N37" s="23">
        <v>2413</v>
      </c>
      <c r="O37" s="23">
        <v>135003</v>
      </c>
      <c r="P37" s="23">
        <v>78959</v>
      </c>
      <c r="Q37" s="23">
        <v>16117</v>
      </c>
      <c r="R37" s="23">
        <v>7911</v>
      </c>
      <c r="S37" s="271">
        <f t="shared" si="20"/>
        <v>21631108</v>
      </c>
      <c r="T37" s="23">
        <v>231625</v>
      </c>
      <c r="U37" s="23">
        <v>11089</v>
      </c>
      <c r="V37" s="23">
        <v>779681</v>
      </c>
      <c r="W37" s="23">
        <v>847461</v>
      </c>
      <c r="X37" s="23">
        <v>388</v>
      </c>
      <c r="Y37" s="271">
        <f t="shared" si="21"/>
        <v>1870244</v>
      </c>
      <c r="Z37" s="23">
        <v>0</v>
      </c>
      <c r="AA37" s="29">
        <v>18534</v>
      </c>
      <c r="AB37" s="23">
        <v>25006</v>
      </c>
      <c r="AC37" s="271">
        <v>337</v>
      </c>
      <c r="AD37" s="23">
        <v>19716987</v>
      </c>
      <c r="AE37" s="23">
        <v>0</v>
      </c>
      <c r="AF37" s="271">
        <f t="shared" si="22"/>
        <v>19716987</v>
      </c>
      <c r="AG37" s="286">
        <f t="shared" si="23"/>
        <v>8</v>
      </c>
      <c r="AH37" s="27"/>
      <c r="AI37" s="27"/>
      <c r="AJ37" s="27"/>
    </row>
    <row r="38" spans="1:36" s="255" customFormat="1" ht="20.149999999999999" hidden="1" customHeight="1" outlineLevel="1" x14ac:dyDescent="0.55000000000000004">
      <c r="A38" s="34"/>
      <c r="B38" s="545" t="s">
        <v>45</v>
      </c>
      <c r="C38" s="564">
        <v>205905737</v>
      </c>
      <c r="D38" s="23">
        <v>0</v>
      </c>
      <c r="E38" s="567">
        <v>0</v>
      </c>
      <c r="F38" s="23">
        <f t="shared" si="18"/>
        <v>205905737</v>
      </c>
      <c r="G38" s="573">
        <v>50853</v>
      </c>
      <c r="H38" s="23">
        <v>2226733</v>
      </c>
      <c r="I38" s="23">
        <v>2139226</v>
      </c>
      <c r="J38" s="574">
        <v>386973</v>
      </c>
      <c r="K38" s="574">
        <v>167847</v>
      </c>
      <c r="L38" s="271">
        <f t="shared" si="19"/>
        <v>210877369</v>
      </c>
      <c r="M38" s="23">
        <v>16395175</v>
      </c>
      <c r="N38" s="23">
        <v>3671</v>
      </c>
      <c r="O38" s="23">
        <v>88499</v>
      </c>
      <c r="P38" s="23">
        <v>85545</v>
      </c>
      <c r="Q38" s="23">
        <v>15454</v>
      </c>
      <c r="R38" s="23">
        <v>6708</v>
      </c>
      <c r="S38" s="271">
        <f t="shared" si="20"/>
        <v>16595052</v>
      </c>
      <c r="T38" s="23">
        <v>119016</v>
      </c>
      <c r="U38" s="23">
        <v>8982</v>
      </c>
      <c r="V38" s="23">
        <v>242790</v>
      </c>
      <c r="W38" s="23">
        <v>847688</v>
      </c>
      <c r="X38" s="23">
        <v>670</v>
      </c>
      <c r="Y38" s="271">
        <f t="shared" si="21"/>
        <v>1219146</v>
      </c>
      <c r="Z38" s="23">
        <v>0</v>
      </c>
      <c r="AA38" s="29">
        <v>13886</v>
      </c>
      <c r="AB38" s="23">
        <v>21028</v>
      </c>
      <c r="AC38" s="271">
        <v>0</v>
      </c>
      <c r="AD38" s="23">
        <v>15340992</v>
      </c>
      <c r="AE38" s="23">
        <v>0</v>
      </c>
      <c r="AF38" s="271">
        <f t="shared" si="22"/>
        <v>15340992</v>
      </c>
      <c r="AG38" s="286">
        <f t="shared" si="23"/>
        <v>8</v>
      </c>
      <c r="AH38" s="27"/>
      <c r="AI38" s="27"/>
      <c r="AJ38" s="27"/>
    </row>
    <row r="39" spans="1:36" s="255" customFormat="1" ht="20.149999999999999" hidden="1" customHeight="1" outlineLevel="1" x14ac:dyDescent="0.55000000000000004">
      <c r="A39" s="34"/>
      <c r="B39" s="545" t="s">
        <v>46</v>
      </c>
      <c r="C39" s="564">
        <v>210889660</v>
      </c>
      <c r="D39" s="23">
        <v>4571</v>
      </c>
      <c r="E39" s="567">
        <v>0</v>
      </c>
      <c r="F39" s="23">
        <f t="shared" si="18"/>
        <v>210894231</v>
      </c>
      <c r="G39" s="573">
        <v>53790</v>
      </c>
      <c r="H39" s="23">
        <v>2955473</v>
      </c>
      <c r="I39" s="23">
        <v>2680398</v>
      </c>
      <c r="J39" s="574">
        <v>1180911</v>
      </c>
      <c r="K39" s="574">
        <v>243911</v>
      </c>
      <c r="L39" s="271">
        <f t="shared" si="19"/>
        <v>218008714</v>
      </c>
      <c r="M39" s="23">
        <v>16773995</v>
      </c>
      <c r="N39" s="23">
        <v>3884</v>
      </c>
      <c r="O39" s="23">
        <v>111619</v>
      </c>
      <c r="P39" s="23">
        <v>107190</v>
      </c>
      <c r="Q39" s="23">
        <v>47212</v>
      </c>
      <c r="R39" s="23">
        <v>9749</v>
      </c>
      <c r="S39" s="271">
        <f t="shared" si="20"/>
        <v>17053649</v>
      </c>
      <c r="T39" s="23">
        <v>90948</v>
      </c>
      <c r="U39" s="23">
        <v>10553</v>
      </c>
      <c r="V39" s="23">
        <v>10354</v>
      </c>
      <c r="W39" s="23">
        <v>1059451</v>
      </c>
      <c r="X39" s="23">
        <v>5764</v>
      </c>
      <c r="Y39" s="271">
        <f t="shared" si="21"/>
        <v>1177070</v>
      </c>
      <c r="Z39" s="23">
        <v>0</v>
      </c>
      <c r="AA39" s="29">
        <v>38020</v>
      </c>
      <c r="AB39" s="23">
        <v>28326</v>
      </c>
      <c r="AC39" s="271">
        <v>0</v>
      </c>
      <c r="AD39" s="23">
        <v>15809869</v>
      </c>
      <c r="AE39" s="23">
        <v>364</v>
      </c>
      <c r="AF39" s="271">
        <f t="shared" si="22"/>
        <v>15810233</v>
      </c>
      <c r="AG39" s="286">
        <f t="shared" si="23"/>
        <v>8</v>
      </c>
      <c r="AH39" s="27"/>
      <c r="AI39" s="27"/>
      <c r="AJ39" s="27"/>
    </row>
    <row r="40" spans="1:36" s="255" customFormat="1" ht="20.149999999999999" hidden="1" customHeight="1" outlineLevel="1" x14ac:dyDescent="0.55000000000000004">
      <c r="A40" s="34"/>
      <c r="B40" s="545" t="s">
        <v>47</v>
      </c>
      <c r="C40" s="564">
        <v>111233806</v>
      </c>
      <c r="D40" s="23">
        <v>4590</v>
      </c>
      <c r="E40" s="567">
        <v>0</v>
      </c>
      <c r="F40" s="23">
        <f t="shared" si="18"/>
        <v>111238396</v>
      </c>
      <c r="G40" s="573">
        <v>51375</v>
      </c>
      <c r="H40" s="23">
        <v>1413641</v>
      </c>
      <c r="I40" s="23">
        <v>1448335</v>
      </c>
      <c r="J40" s="574">
        <v>265159</v>
      </c>
      <c r="K40" s="574">
        <v>127391</v>
      </c>
      <c r="L40" s="271">
        <f t="shared" si="19"/>
        <v>114544297</v>
      </c>
      <c r="M40" s="23">
        <v>8827401</v>
      </c>
      <c r="N40" s="23">
        <v>3708</v>
      </c>
      <c r="O40" s="23">
        <v>56529</v>
      </c>
      <c r="P40" s="23">
        <v>57919</v>
      </c>
      <c r="Q40" s="23">
        <v>10592</v>
      </c>
      <c r="R40" s="23">
        <v>5093</v>
      </c>
      <c r="S40" s="271">
        <f t="shared" si="20"/>
        <v>8961242</v>
      </c>
      <c r="T40" s="23">
        <v>36136</v>
      </c>
      <c r="U40" s="23">
        <v>7237</v>
      </c>
      <c r="V40" s="23">
        <v>146</v>
      </c>
      <c r="W40" s="23">
        <v>619451</v>
      </c>
      <c r="X40" s="23">
        <v>414</v>
      </c>
      <c r="Y40" s="271">
        <f t="shared" si="21"/>
        <v>663384</v>
      </c>
      <c r="Z40" s="23">
        <v>0</v>
      </c>
      <c r="AA40" s="29">
        <v>8830</v>
      </c>
      <c r="AB40" s="23">
        <v>11099</v>
      </c>
      <c r="AC40" s="271">
        <v>0</v>
      </c>
      <c r="AD40" s="23">
        <v>8277929</v>
      </c>
      <c r="AE40" s="23">
        <v>0</v>
      </c>
      <c r="AF40" s="271">
        <f t="shared" si="22"/>
        <v>8277929</v>
      </c>
      <c r="AG40" s="286">
        <f t="shared" si="23"/>
        <v>7.9</v>
      </c>
      <c r="AH40" s="27"/>
      <c r="AI40" s="27"/>
      <c r="AJ40" s="27"/>
    </row>
    <row r="41" spans="1:36" s="255" customFormat="1" ht="20.149999999999999" hidden="1" customHeight="1" outlineLevel="1" x14ac:dyDescent="0.55000000000000004">
      <c r="A41" s="34"/>
      <c r="B41" s="545" t="s">
        <v>48</v>
      </c>
      <c r="C41" s="564">
        <v>131083046</v>
      </c>
      <c r="D41" s="23">
        <v>0</v>
      </c>
      <c r="E41" s="567">
        <v>0</v>
      </c>
      <c r="F41" s="23">
        <f t="shared" si="18"/>
        <v>131083046</v>
      </c>
      <c r="G41" s="573">
        <v>50608</v>
      </c>
      <c r="H41" s="23">
        <v>1805193</v>
      </c>
      <c r="I41" s="23">
        <v>2619544</v>
      </c>
      <c r="J41" s="574">
        <v>466520</v>
      </c>
      <c r="K41" s="574">
        <v>92597</v>
      </c>
      <c r="L41" s="271">
        <f t="shared" si="19"/>
        <v>136117508</v>
      </c>
      <c r="M41" s="23">
        <v>10368051</v>
      </c>
      <c r="N41" s="23">
        <v>3648</v>
      </c>
      <c r="O41" s="23">
        <v>70830</v>
      </c>
      <c r="P41" s="23">
        <v>104763</v>
      </c>
      <c r="Q41" s="23">
        <v>18641</v>
      </c>
      <c r="R41" s="23">
        <v>3701</v>
      </c>
      <c r="S41" s="271">
        <f t="shared" si="20"/>
        <v>10569634</v>
      </c>
      <c r="T41" s="23">
        <v>31548</v>
      </c>
      <c r="U41" s="23">
        <v>13343</v>
      </c>
      <c r="V41" s="23">
        <v>99</v>
      </c>
      <c r="W41" s="23">
        <v>792131</v>
      </c>
      <c r="X41" s="23">
        <v>800</v>
      </c>
      <c r="Y41" s="271">
        <f t="shared" si="21"/>
        <v>837921</v>
      </c>
      <c r="Z41" s="23">
        <v>0</v>
      </c>
      <c r="AA41" s="29">
        <v>13828</v>
      </c>
      <c r="AB41" s="23">
        <v>25863</v>
      </c>
      <c r="AC41" s="271">
        <v>0</v>
      </c>
      <c r="AD41" s="23">
        <v>9692022</v>
      </c>
      <c r="AE41" s="23">
        <v>0</v>
      </c>
      <c r="AF41" s="271">
        <f t="shared" si="22"/>
        <v>9692022</v>
      </c>
      <c r="AG41" s="286">
        <f t="shared" si="23"/>
        <v>7.9</v>
      </c>
      <c r="AH41" s="27"/>
      <c r="AI41" s="27"/>
      <c r="AJ41" s="27"/>
    </row>
    <row r="42" spans="1:36" s="255" customFormat="1" ht="20.149999999999999" hidden="1" customHeight="1" outlineLevel="1" x14ac:dyDescent="0.55000000000000004">
      <c r="A42" s="21"/>
      <c r="B42" s="546" t="s">
        <v>49</v>
      </c>
      <c r="C42" s="537">
        <v>335738767</v>
      </c>
      <c r="D42" s="272">
        <v>3283</v>
      </c>
      <c r="E42" s="568">
        <v>14200</v>
      </c>
      <c r="F42" s="272">
        <f t="shared" si="18"/>
        <v>335756250</v>
      </c>
      <c r="G42" s="575">
        <v>163450</v>
      </c>
      <c r="H42" s="272">
        <v>4005285</v>
      </c>
      <c r="I42" s="272">
        <v>18345936</v>
      </c>
      <c r="J42" s="576">
        <v>3842807</v>
      </c>
      <c r="K42" s="576">
        <v>704430</v>
      </c>
      <c r="L42" s="266">
        <f t="shared" si="19"/>
        <v>362818158</v>
      </c>
      <c r="M42" s="272">
        <v>26229170</v>
      </c>
      <c r="N42" s="272">
        <v>11770</v>
      </c>
      <c r="O42" s="272">
        <v>159709</v>
      </c>
      <c r="P42" s="272">
        <v>733797</v>
      </c>
      <c r="Q42" s="272">
        <v>153671</v>
      </c>
      <c r="R42" s="272">
        <v>28171</v>
      </c>
      <c r="S42" s="266">
        <f t="shared" si="20"/>
        <v>27316288</v>
      </c>
      <c r="T42" s="272">
        <v>25908</v>
      </c>
      <c r="U42" s="272">
        <v>97128</v>
      </c>
      <c r="V42" s="272">
        <v>0</v>
      </c>
      <c r="W42" s="272">
        <v>2344740</v>
      </c>
      <c r="X42" s="272">
        <v>3959</v>
      </c>
      <c r="Y42" s="266">
        <f t="shared" si="21"/>
        <v>2471735</v>
      </c>
      <c r="Z42" s="272">
        <v>0</v>
      </c>
      <c r="AA42" s="577">
        <v>58354</v>
      </c>
      <c r="AB42" s="272">
        <v>105536</v>
      </c>
      <c r="AC42" s="266">
        <v>0</v>
      </c>
      <c r="AD42" s="272">
        <v>24680663</v>
      </c>
      <c r="AE42" s="272">
        <v>0</v>
      </c>
      <c r="AF42" s="266">
        <f t="shared" si="22"/>
        <v>24680663</v>
      </c>
      <c r="AG42" s="287">
        <f t="shared" si="23"/>
        <v>7.8</v>
      </c>
      <c r="AH42" s="27"/>
      <c r="AI42" s="27"/>
      <c r="AJ42" s="27"/>
    </row>
    <row r="43" spans="1:36" s="255" customFormat="1" ht="20.149999999999999" customHeight="1" collapsed="1" x14ac:dyDescent="0.55000000000000004">
      <c r="A43" s="21"/>
      <c r="B43" s="275" t="s">
        <v>38</v>
      </c>
      <c r="C43" s="12">
        <v>1588114335</v>
      </c>
      <c r="D43" s="11">
        <v>17375</v>
      </c>
      <c r="E43" s="11">
        <v>0</v>
      </c>
      <c r="F43" s="11">
        <v>1588131710</v>
      </c>
      <c r="G43" s="11">
        <v>689206</v>
      </c>
      <c r="H43" s="11">
        <v>33881792</v>
      </c>
      <c r="I43" s="11">
        <v>56277578</v>
      </c>
      <c r="J43" s="11">
        <v>5917385</v>
      </c>
      <c r="K43" s="11">
        <v>2208400</v>
      </c>
      <c r="L43" s="256">
        <v>1687106071</v>
      </c>
      <c r="M43" s="11">
        <v>126026107</v>
      </c>
      <c r="N43" s="11">
        <v>46459</v>
      </c>
      <c r="O43" s="11">
        <v>1328052</v>
      </c>
      <c r="P43" s="11">
        <v>2250902</v>
      </c>
      <c r="Q43" s="11">
        <v>236416</v>
      </c>
      <c r="R43" s="11">
        <v>88302</v>
      </c>
      <c r="S43" s="256">
        <v>129976238</v>
      </c>
      <c r="T43" s="269">
        <v>1796247</v>
      </c>
      <c r="U43" s="269">
        <v>192911</v>
      </c>
      <c r="V43" s="269">
        <v>1668191</v>
      </c>
      <c r="W43" s="269">
        <v>5537686</v>
      </c>
      <c r="X43" s="269">
        <v>9717</v>
      </c>
      <c r="Y43" s="270">
        <v>9204752</v>
      </c>
      <c r="Z43" s="269">
        <v>7679</v>
      </c>
      <c r="AA43" s="269">
        <v>156643</v>
      </c>
      <c r="AB43" s="269">
        <v>174775</v>
      </c>
      <c r="AC43" s="270">
        <v>56680</v>
      </c>
      <c r="AD43" s="269">
        <v>120322685</v>
      </c>
      <c r="AE43" s="269">
        <v>53024</v>
      </c>
      <c r="AF43" s="270">
        <v>120375709</v>
      </c>
      <c r="AG43" s="520">
        <v>7.9</v>
      </c>
      <c r="AH43" s="28"/>
      <c r="AI43" s="28"/>
      <c r="AJ43" s="28"/>
    </row>
    <row r="44" spans="1:36" s="255" customFormat="1" ht="20.149999999999999" customHeight="1" x14ac:dyDescent="0.55000000000000004">
      <c r="A44" s="21"/>
      <c r="B44" s="275" t="s">
        <v>1</v>
      </c>
      <c r="C44" s="14">
        <v>1616563212</v>
      </c>
      <c r="D44" s="13">
        <v>23654</v>
      </c>
      <c r="E44" s="13">
        <v>0</v>
      </c>
      <c r="F44" s="13">
        <v>1616586866</v>
      </c>
      <c r="G44" s="13">
        <v>650818</v>
      </c>
      <c r="H44" s="13">
        <v>44314241</v>
      </c>
      <c r="I44" s="13">
        <v>32220681</v>
      </c>
      <c r="J44" s="13">
        <v>6585121</v>
      </c>
      <c r="K44" s="13">
        <v>1104072</v>
      </c>
      <c r="L44" s="257">
        <v>1701461799</v>
      </c>
      <c r="M44" s="13">
        <v>128439993</v>
      </c>
      <c r="N44" s="13">
        <v>46631</v>
      </c>
      <c r="O44" s="13">
        <v>1717682</v>
      </c>
      <c r="P44" s="13">
        <v>1288647</v>
      </c>
      <c r="Q44" s="13">
        <v>263131</v>
      </c>
      <c r="R44" s="13">
        <v>44126</v>
      </c>
      <c r="S44" s="257">
        <v>131800210</v>
      </c>
      <c r="T44" s="23">
        <v>1796852</v>
      </c>
      <c r="U44" s="13">
        <v>189628</v>
      </c>
      <c r="V44" s="13">
        <v>1629538</v>
      </c>
      <c r="W44" s="13">
        <v>4572909</v>
      </c>
      <c r="X44" s="13">
        <v>10140</v>
      </c>
      <c r="Y44" s="257">
        <v>8199067</v>
      </c>
      <c r="Z44" s="23">
        <v>8087</v>
      </c>
      <c r="AA44" s="29">
        <v>188669</v>
      </c>
      <c r="AB44" s="23">
        <v>109495</v>
      </c>
      <c r="AC44" s="271">
        <v>56497</v>
      </c>
      <c r="AD44" s="23">
        <v>123185362</v>
      </c>
      <c r="AE44" s="23">
        <v>53033</v>
      </c>
      <c r="AF44" s="271">
        <v>123238395</v>
      </c>
      <c r="AG44" s="504">
        <f>ROUND(M44/F44*100,1)</f>
        <v>7.9</v>
      </c>
      <c r="AH44" s="27"/>
      <c r="AI44" s="27"/>
      <c r="AJ44" s="27"/>
    </row>
    <row r="45" spans="1:36" s="255" customFormat="1" ht="20.149999999999999" customHeight="1" x14ac:dyDescent="0.55000000000000004">
      <c r="A45" s="21"/>
      <c r="B45" s="283" t="s">
        <v>39</v>
      </c>
      <c r="C45" s="12">
        <v>1599004066</v>
      </c>
      <c r="D45" s="11">
        <v>50895</v>
      </c>
      <c r="E45" s="11">
        <v>1845</v>
      </c>
      <c r="F45" s="11">
        <v>1599056806</v>
      </c>
      <c r="G45" s="11">
        <v>879682</v>
      </c>
      <c r="H45" s="11">
        <v>44536630</v>
      </c>
      <c r="I45" s="11">
        <v>40292480</v>
      </c>
      <c r="J45" s="11">
        <v>6247455</v>
      </c>
      <c r="K45" s="11">
        <v>1970608</v>
      </c>
      <c r="L45" s="256">
        <v>1692983661</v>
      </c>
      <c r="M45" s="11">
        <v>126993900</v>
      </c>
      <c r="N45" s="11">
        <v>62653</v>
      </c>
      <c r="O45" s="11">
        <v>1741229</v>
      </c>
      <c r="P45" s="11">
        <v>1611505</v>
      </c>
      <c r="Q45" s="11">
        <v>249605</v>
      </c>
      <c r="R45" s="11">
        <v>78785</v>
      </c>
      <c r="S45" s="256">
        <v>130737677</v>
      </c>
      <c r="T45" s="269">
        <v>1796805</v>
      </c>
      <c r="U45" s="11">
        <v>185248</v>
      </c>
      <c r="V45" s="11">
        <v>1638767</v>
      </c>
      <c r="W45" s="11">
        <v>4481377</v>
      </c>
      <c r="X45" s="11">
        <v>13619</v>
      </c>
      <c r="Y45" s="256">
        <v>8115816</v>
      </c>
      <c r="Z45" s="269">
        <v>8986</v>
      </c>
      <c r="AA45" s="549">
        <v>186945</v>
      </c>
      <c r="AB45" s="269">
        <v>108601</v>
      </c>
      <c r="AC45" s="270">
        <v>56625</v>
      </c>
      <c r="AD45" s="269">
        <v>122206934</v>
      </c>
      <c r="AE45" s="269">
        <v>53770</v>
      </c>
      <c r="AF45" s="270">
        <v>122260704</v>
      </c>
      <c r="AG45" s="520">
        <f>ROUND(M45/F45*100,1)</f>
        <v>7.9</v>
      </c>
      <c r="AH45" s="27"/>
      <c r="AI45" s="27"/>
      <c r="AJ45" s="27"/>
    </row>
    <row r="46" spans="1:36" s="255" customFormat="1" ht="20.149999999999999" customHeight="1" x14ac:dyDescent="0.55000000000000004">
      <c r="A46" s="21"/>
      <c r="B46" s="275" t="s">
        <v>40</v>
      </c>
      <c r="C46" s="14">
        <v>1565836340</v>
      </c>
      <c r="D46" s="13">
        <v>20941</v>
      </c>
      <c r="E46" s="24" t="s">
        <v>50</v>
      </c>
      <c r="F46" s="13">
        <v>1565857281</v>
      </c>
      <c r="G46" s="13">
        <v>599142</v>
      </c>
      <c r="H46" s="13">
        <v>40812720</v>
      </c>
      <c r="I46" s="13">
        <v>52048133</v>
      </c>
      <c r="J46" s="13">
        <v>6944532</v>
      </c>
      <c r="K46" s="13">
        <v>1732289</v>
      </c>
      <c r="L46" s="257">
        <v>1667994097</v>
      </c>
      <c r="M46" s="13">
        <v>124417978</v>
      </c>
      <c r="N46" s="13">
        <v>42053</v>
      </c>
      <c r="O46" s="13">
        <v>1605414</v>
      </c>
      <c r="P46" s="13">
        <v>2081646</v>
      </c>
      <c r="Q46" s="13">
        <v>277498</v>
      </c>
      <c r="R46" s="13">
        <v>69252</v>
      </c>
      <c r="S46" s="257">
        <v>128493841</v>
      </c>
      <c r="T46" s="23">
        <v>1792566</v>
      </c>
      <c r="U46" s="13">
        <v>172135</v>
      </c>
      <c r="V46" s="13">
        <v>1521265</v>
      </c>
      <c r="W46" s="13">
        <v>3321965</v>
      </c>
      <c r="X46" s="13">
        <v>14769</v>
      </c>
      <c r="Y46" s="257">
        <v>6822700</v>
      </c>
      <c r="Z46" s="23">
        <v>8573</v>
      </c>
      <c r="AA46" s="29">
        <v>207838</v>
      </c>
      <c r="AB46" s="23">
        <v>217427</v>
      </c>
      <c r="AC46" s="271">
        <v>57811</v>
      </c>
      <c r="AD46" s="23">
        <v>121124964</v>
      </c>
      <c r="AE46" s="23">
        <v>54528</v>
      </c>
      <c r="AF46" s="271">
        <v>121179492</v>
      </c>
      <c r="AG46" s="504">
        <f>ROUND(M46/F46*100,1)</f>
        <v>7.9</v>
      </c>
      <c r="AH46" s="27"/>
      <c r="AI46" s="27"/>
      <c r="AJ46" s="27"/>
    </row>
    <row r="47" spans="1:36" s="255" customFormat="1" ht="20.149999999999999" customHeight="1" x14ac:dyDescent="0.55000000000000004">
      <c r="A47" s="21"/>
      <c r="B47" s="275" t="s">
        <v>3</v>
      </c>
      <c r="C47" s="14">
        <v>1542215805</v>
      </c>
      <c r="D47" s="13">
        <v>14563</v>
      </c>
      <c r="E47" s="24" t="s">
        <v>50</v>
      </c>
      <c r="F47" s="13">
        <v>1542230368</v>
      </c>
      <c r="G47" s="13">
        <v>1425216</v>
      </c>
      <c r="H47" s="13">
        <v>41907352</v>
      </c>
      <c r="I47" s="13">
        <v>37549512</v>
      </c>
      <c r="J47" s="13">
        <v>4995008</v>
      </c>
      <c r="K47" s="13">
        <v>2164073</v>
      </c>
      <c r="L47" s="257">
        <v>1630271529</v>
      </c>
      <c r="M47" s="13">
        <v>92025054</v>
      </c>
      <c r="N47" s="13">
        <v>75282</v>
      </c>
      <c r="O47" s="13">
        <v>1239305</v>
      </c>
      <c r="P47" s="13">
        <v>1126329</v>
      </c>
      <c r="Q47" s="13">
        <v>149541</v>
      </c>
      <c r="R47" s="13">
        <v>64892</v>
      </c>
      <c r="S47" s="257">
        <v>94680403</v>
      </c>
      <c r="T47" s="23">
        <v>1337800</v>
      </c>
      <c r="U47" s="13">
        <v>122600</v>
      </c>
      <c r="V47" s="13">
        <v>1031267</v>
      </c>
      <c r="W47" s="13">
        <v>1871190</v>
      </c>
      <c r="X47" s="13">
        <v>19701</v>
      </c>
      <c r="Y47" s="257">
        <v>4382558</v>
      </c>
      <c r="Z47" s="23">
        <v>8393</v>
      </c>
      <c r="AA47" s="29">
        <v>128694</v>
      </c>
      <c r="AB47" s="23">
        <v>78705</v>
      </c>
      <c r="AC47" s="271">
        <v>44015</v>
      </c>
      <c r="AD47" s="23">
        <v>89998816</v>
      </c>
      <c r="AE47" s="23">
        <v>39222</v>
      </c>
      <c r="AF47" s="271">
        <v>90038038</v>
      </c>
      <c r="AG47" s="504">
        <f>ROUND(M47/F47*100,1)</f>
        <v>6</v>
      </c>
      <c r="AH47" s="27"/>
      <c r="AI47" s="27"/>
      <c r="AJ47" s="27"/>
    </row>
    <row r="48" spans="1:36" x14ac:dyDescent="0.35">
      <c r="B48" s="3"/>
    </row>
    <row r="49" spans="2:2" x14ac:dyDescent="0.35">
      <c r="B49" s="3"/>
    </row>
    <row r="50" spans="2:2" x14ac:dyDescent="0.35">
      <c r="B50" s="3"/>
    </row>
    <row r="51" spans="2:2" x14ac:dyDescent="0.35">
      <c r="B51" s="3"/>
    </row>
    <row r="52" spans="2:2" x14ac:dyDescent="0.35">
      <c r="B52" s="3"/>
    </row>
    <row r="53" spans="2:2" x14ac:dyDescent="0.35">
      <c r="B53" s="3"/>
    </row>
    <row r="54" spans="2:2" x14ac:dyDescent="0.35">
      <c r="B54" s="3"/>
    </row>
    <row r="55" spans="2:2" x14ac:dyDescent="0.35">
      <c r="B55" s="3"/>
    </row>
    <row r="56" spans="2:2" x14ac:dyDescent="0.35">
      <c r="B56" s="3"/>
    </row>
    <row r="57" spans="2:2" x14ac:dyDescent="0.35">
      <c r="B57" s="3"/>
    </row>
    <row r="58" spans="2:2" x14ac:dyDescent="0.35">
      <c r="B58" s="3"/>
    </row>
    <row r="59" spans="2:2" x14ac:dyDescent="0.35">
      <c r="B59" s="3"/>
    </row>
    <row r="60" spans="2:2" x14ac:dyDescent="0.35">
      <c r="B60" s="3"/>
    </row>
    <row r="61" spans="2:2" x14ac:dyDescent="0.35">
      <c r="B61" s="3"/>
    </row>
    <row r="62" spans="2:2" x14ac:dyDescent="0.35">
      <c r="B62" s="3"/>
    </row>
    <row r="63" spans="2:2" x14ac:dyDescent="0.35">
      <c r="B63" s="3"/>
    </row>
    <row r="64" spans="2:2" x14ac:dyDescent="0.35">
      <c r="B64" s="3"/>
    </row>
    <row r="65" spans="2:2" x14ac:dyDescent="0.35">
      <c r="B65" s="3"/>
    </row>
    <row r="66" spans="2:2" x14ac:dyDescent="0.35">
      <c r="B66" s="3"/>
    </row>
    <row r="67" spans="2:2" x14ac:dyDescent="0.35">
      <c r="B67" s="3"/>
    </row>
    <row r="68" spans="2:2" x14ac:dyDescent="0.35">
      <c r="B68" s="3"/>
    </row>
    <row r="69" spans="2:2" x14ac:dyDescent="0.35">
      <c r="B69" s="3"/>
    </row>
    <row r="70" spans="2:2" x14ac:dyDescent="0.35">
      <c r="B70" s="3"/>
    </row>
  </sheetData>
  <sortState ref="A10:AJ14">
    <sortCondition descending="1" ref="B10:B14"/>
  </sortState>
  <customSheetViews>
    <customSheetView guid="{501209ED-4B79-4E52-B95E-748E5E77E24F}" hiddenRows="1">
      <pane xSplit="2" ySplit="8" topLeftCell="C10" activePane="bottomRight" state="frozen"/>
      <selection pane="bottomRight" activeCell="C12" sqref="C12"/>
      <pageMargins left="0.59055118110236227" right="0.59055118110236227" top="0.59055118110236227" bottom="0.59055118110236227" header="0.31496062992125984" footer="0.31496062992125984"/>
      <printOptions horizontalCentered="1"/>
      <pageSetup paperSize="9" scale="27" orientation="portrait" r:id="rId1"/>
    </customSheetView>
  </customSheetViews>
  <mergeCells count="4">
    <mergeCell ref="C8:L8"/>
    <mergeCell ref="M8:S8"/>
    <mergeCell ref="T8:Y8"/>
    <mergeCell ref="AD8:AF8"/>
  </mergeCells>
  <phoneticPr fontId="1"/>
  <conditionalFormatting sqref="C23:AG31">
    <cfRule type="containsBlanks" dxfId="413" priority="2">
      <formula>LEN(TRIM(C23))=0</formula>
    </cfRule>
  </conditionalFormatting>
  <conditionalFormatting sqref="C12:AG20">
    <cfRule type="containsBlanks" dxfId="412" priority="1">
      <formula>LEN(TRIM(C12))=0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27"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zoomScaleNormal="100" workbookViewId="0">
      <pane xSplit="2" ySplit="9" topLeftCell="C10" activePane="bottomRight" state="frozen"/>
      <selection pane="topRight" activeCell="C1" sqref="C1"/>
      <selection pane="bottomLeft" activeCell="A10" sqref="A10"/>
      <selection pane="bottomRight"/>
    </sheetView>
  </sheetViews>
  <sheetFormatPr defaultColWidth="8.58203125" defaultRowHeight="14.5" x14ac:dyDescent="0.35"/>
  <cols>
    <col min="1" max="1" width="10.33203125" style="2" bestFit="1" customWidth="1"/>
    <col min="2" max="2" width="20.08203125" style="4" bestFit="1" customWidth="1"/>
    <col min="3" max="14" width="8.58203125" style="1" customWidth="1"/>
    <col min="15" max="22" width="10.33203125" style="1" customWidth="1"/>
    <col min="23" max="16384" width="8.58203125" style="1"/>
  </cols>
  <sheetData>
    <row r="1" spans="1:21" x14ac:dyDescent="0.35">
      <c r="A1" s="432" t="s">
        <v>438</v>
      </c>
    </row>
    <row r="3" spans="1:21" s="253" customFormat="1" ht="20.149999999999999" customHeight="1" x14ac:dyDescent="0.55000000000000004">
      <c r="A3" s="252" t="s">
        <v>117</v>
      </c>
    </row>
    <row r="4" spans="1:21" s="253" customFormat="1" ht="20.149999999999999" customHeight="1" x14ac:dyDescent="0.55000000000000004">
      <c r="A4" s="252" t="s">
        <v>118</v>
      </c>
    </row>
    <row r="5" spans="1:21" s="253" customFormat="1" ht="14.5" customHeight="1" x14ac:dyDescent="0.55000000000000004">
      <c r="A5" s="46"/>
      <c r="C5" s="252"/>
    </row>
    <row r="6" spans="1:21" s="253" customFormat="1" ht="14.5" customHeight="1" x14ac:dyDescent="0.55000000000000004">
      <c r="A6" s="30" t="s">
        <v>75</v>
      </c>
      <c r="C6" s="252"/>
    </row>
    <row r="7" spans="1:21" s="253" customFormat="1" ht="14.5" customHeight="1" x14ac:dyDescent="0.55000000000000004">
      <c r="A7" s="46"/>
      <c r="B7" s="252"/>
    </row>
    <row r="8" spans="1:21" s="22" customFormat="1" ht="14.5" customHeight="1" x14ac:dyDescent="0.55000000000000004">
      <c r="A8" s="22" t="s">
        <v>74</v>
      </c>
      <c r="B8" s="239"/>
    </row>
    <row r="9" spans="1:21" s="22" customFormat="1" x14ac:dyDescent="0.55000000000000004">
      <c r="A9" s="30"/>
      <c r="B9" s="239"/>
      <c r="C9" s="669" t="s">
        <v>71</v>
      </c>
      <c r="D9" s="670"/>
      <c r="E9" s="670"/>
      <c r="F9" s="670"/>
      <c r="G9" s="670"/>
      <c r="H9" s="670"/>
      <c r="I9" s="671"/>
      <c r="J9" s="669" t="s">
        <v>72</v>
      </c>
      <c r="K9" s="670"/>
      <c r="L9" s="670"/>
      <c r="M9" s="670"/>
      <c r="N9" s="671"/>
    </row>
    <row r="10" spans="1:21" s="253" customFormat="1" ht="20.149999999999999" customHeight="1" x14ac:dyDescent="0.55000000000000004">
      <c r="A10" s="46"/>
      <c r="B10" s="288" t="s">
        <v>76</v>
      </c>
      <c r="C10" s="325" t="s">
        <v>56</v>
      </c>
      <c r="D10" s="325" t="s">
        <v>57</v>
      </c>
      <c r="E10" s="325" t="s">
        <v>58</v>
      </c>
      <c r="F10" s="325" t="s">
        <v>59</v>
      </c>
      <c r="G10" s="325" t="s">
        <v>60</v>
      </c>
      <c r="H10" s="325" t="s">
        <v>61</v>
      </c>
      <c r="I10" s="325" t="s">
        <v>62</v>
      </c>
      <c r="J10" s="326" t="s">
        <v>63</v>
      </c>
      <c r="K10" s="326" t="s">
        <v>64</v>
      </c>
      <c r="L10" s="326" t="s">
        <v>65</v>
      </c>
      <c r="M10" s="325" t="s">
        <v>66</v>
      </c>
      <c r="N10" s="325" t="s">
        <v>62</v>
      </c>
    </row>
    <row r="11" spans="1:21" s="253" customFormat="1" ht="20.149999999999999" customHeight="1" x14ac:dyDescent="0.55000000000000004">
      <c r="A11" s="265" t="s">
        <v>1110</v>
      </c>
      <c r="B11" s="289" t="s">
        <v>67</v>
      </c>
      <c r="C11" s="290">
        <v>929</v>
      </c>
      <c r="D11" s="291">
        <v>0</v>
      </c>
      <c r="E11" s="291">
        <v>14</v>
      </c>
      <c r="F11" s="291">
        <v>3</v>
      </c>
      <c r="G11" s="291">
        <v>2</v>
      </c>
      <c r="H11" s="291">
        <v>0</v>
      </c>
      <c r="I11" s="292">
        <f>SUM(C11:H11)</f>
        <v>948</v>
      </c>
      <c r="J11" s="291">
        <v>9</v>
      </c>
      <c r="K11" s="291">
        <v>55</v>
      </c>
      <c r="L11" s="291">
        <v>882</v>
      </c>
      <c r="M11" s="291">
        <v>2</v>
      </c>
      <c r="N11" s="293">
        <f>SUM(J11:M11)</f>
        <v>948</v>
      </c>
    </row>
    <row r="12" spans="1:21" s="9" customFormat="1" ht="20.149999999999999" customHeight="1" x14ac:dyDescent="0.55000000000000004">
      <c r="A12" s="34"/>
      <c r="B12" s="294" t="s">
        <v>68</v>
      </c>
      <c r="C12" s="295">
        <v>662</v>
      </c>
      <c r="D12" s="296">
        <v>0</v>
      </c>
      <c r="E12" s="296">
        <v>18</v>
      </c>
      <c r="F12" s="296">
        <v>0</v>
      </c>
      <c r="G12" s="296">
        <v>2</v>
      </c>
      <c r="H12" s="296">
        <v>0</v>
      </c>
      <c r="I12" s="297">
        <f t="shared" ref="I12:I15" si="0">SUM(C12:H12)</f>
        <v>682</v>
      </c>
      <c r="J12" s="296">
        <v>39</v>
      </c>
      <c r="K12" s="296">
        <v>64</v>
      </c>
      <c r="L12" s="296">
        <v>577</v>
      </c>
      <c r="M12" s="296">
        <v>2</v>
      </c>
      <c r="N12" s="298">
        <f>SUM(J12:M12)</f>
        <v>682</v>
      </c>
      <c r="O12" s="30"/>
      <c r="P12" s="31"/>
      <c r="Q12" s="31"/>
      <c r="R12" s="31"/>
      <c r="S12" s="31"/>
      <c r="T12" s="31"/>
      <c r="U12" s="31"/>
    </row>
    <row r="13" spans="1:21" s="9" customFormat="1" ht="20.149999999999999" customHeight="1" x14ac:dyDescent="0.55000000000000004">
      <c r="A13" s="34"/>
      <c r="B13" s="294" t="s">
        <v>69</v>
      </c>
      <c r="C13" s="295">
        <v>1967</v>
      </c>
      <c r="D13" s="296">
        <v>0</v>
      </c>
      <c r="E13" s="296">
        <v>41</v>
      </c>
      <c r="F13" s="296">
        <v>0</v>
      </c>
      <c r="G13" s="296">
        <v>7</v>
      </c>
      <c r="H13" s="296">
        <v>0</v>
      </c>
      <c r="I13" s="297">
        <f t="shared" si="0"/>
        <v>2015</v>
      </c>
      <c r="J13" s="296">
        <v>292</v>
      </c>
      <c r="K13" s="296">
        <v>241</v>
      </c>
      <c r="L13" s="296">
        <v>1470</v>
      </c>
      <c r="M13" s="296">
        <v>12</v>
      </c>
      <c r="N13" s="298">
        <f>SUM(J13:M13)</f>
        <v>2015</v>
      </c>
      <c r="O13" s="32"/>
      <c r="P13" s="32"/>
      <c r="Q13" s="32"/>
      <c r="R13" s="22"/>
      <c r="S13" s="22"/>
      <c r="T13" s="22"/>
      <c r="U13" s="22"/>
    </row>
    <row r="14" spans="1:21" s="9" customFormat="1" ht="20.149999999999999" customHeight="1" x14ac:dyDescent="0.55000000000000004">
      <c r="A14" s="34"/>
      <c r="B14" s="294" t="s">
        <v>70</v>
      </c>
      <c r="C14" s="295">
        <v>6852</v>
      </c>
      <c r="D14" s="296">
        <v>0</v>
      </c>
      <c r="E14" s="296">
        <v>382</v>
      </c>
      <c r="F14" s="296">
        <v>0</v>
      </c>
      <c r="G14" s="296">
        <v>5</v>
      </c>
      <c r="H14" s="296">
        <v>2</v>
      </c>
      <c r="I14" s="297">
        <f t="shared" si="0"/>
        <v>7241</v>
      </c>
      <c r="J14" s="296">
        <v>3684</v>
      </c>
      <c r="K14" s="296">
        <v>1024</v>
      </c>
      <c r="L14" s="296">
        <v>2512</v>
      </c>
      <c r="M14" s="296">
        <v>21</v>
      </c>
      <c r="N14" s="298">
        <f>SUM(J14:M14)</f>
        <v>7241</v>
      </c>
      <c r="O14" s="26"/>
      <c r="P14" s="26"/>
      <c r="Q14" s="26"/>
      <c r="R14" s="26"/>
      <c r="S14" s="26"/>
      <c r="T14" s="26"/>
      <c r="U14" s="26"/>
    </row>
    <row r="15" spans="1:21" s="22" customFormat="1" ht="20.149999999999999" customHeight="1" thickBot="1" x14ac:dyDescent="0.6">
      <c r="A15" s="34"/>
      <c r="B15" s="299" t="s">
        <v>61</v>
      </c>
      <c r="C15" s="300">
        <v>32520</v>
      </c>
      <c r="D15" s="301">
        <v>371</v>
      </c>
      <c r="E15" s="301">
        <v>883</v>
      </c>
      <c r="F15" s="301">
        <v>1906</v>
      </c>
      <c r="G15" s="301">
        <v>8</v>
      </c>
      <c r="H15" s="301">
        <v>7</v>
      </c>
      <c r="I15" s="302">
        <f t="shared" si="0"/>
        <v>35695</v>
      </c>
      <c r="J15" s="301">
        <v>31533</v>
      </c>
      <c r="K15" s="301">
        <v>1357</v>
      </c>
      <c r="L15" s="301">
        <v>2608</v>
      </c>
      <c r="M15" s="301">
        <v>197</v>
      </c>
      <c r="N15" s="303">
        <f>SUM(J15:M15)</f>
        <v>35695</v>
      </c>
      <c r="O15" s="25"/>
      <c r="P15" s="25"/>
      <c r="Q15" s="25"/>
      <c r="R15" s="25"/>
      <c r="S15" s="25"/>
      <c r="T15" s="25"/>
      <c r="U15" s="25"/>
    </row>
    <row r="16" spans="1:21" s="255" customFormat="1" ht="20.149999999999999" customHeight="1" thickTop="1" x14ac:dyDescent="0.55000000000000004">
      <c r="A16" s="34"/>
      <c r="B16" s="304" t="s">
        <v>62</v>
      </c>
      <c r="C16" s="305">
        <f t="shared" ref="C16:N16" si="1">SUM(C11:C15)</f>
        <v>42930</v>
      </c>
      <c r="D16" s="306">
        <f t="shared" si="1"/>
        <v>371</v>
      </c>
      <c r="E16" s="306">
        <f t="shared" si="1"/>
        <v>1338</v>
      </c>
      <c r="F16" s="306">
        <f t="shared" si="1"/>
        <v>1909</v>
      </c>
      <c r="G16" s="306">
        <f t="shared" si="1"/>
        <v>24</v>
      </c>
      <c r="H16" s="306">
        <f t="shared" si="1"/>
        <v>9</v>
      </c>
      <c r="I16" s="307">
        <f t="shared" si="1"/>
        <v>46581</v>
      </c>
      <c r="J16" s="306">
        <f t="shared" si="1"/>
        <v>35557</v>
      </c>
      <c r="K16" s="306">
        <f t="shared" si="1"/>
        <v>2741</v>
      </c>
      <c r="L16" s="306">
        <f t="shared" si="1"/>
        <v>8049</v>
      </c>
      <c r="M16" s="306">
        <f t="shared" si="1"/>
        <v>234</v>
      </c>
      <c r="N16" s="307">
        <f t="shared" si="1"/>
        <v>46581</v>
      </c>
      <c r="O16" s="25"/>
      <c r="P16" s="25"/>
      <c r="Q16" s="25"/>
      <c r="R16" s="25"/>
      <c r="S16" s="25"/>
      <c r="T16" s="25"/>
      <c r="U16" s="25"/>
    </row>
    <row r="17" spans="1:21" s="253" customFormat="1" ht="20.149999999999999" customHeight="1" x14ac:dyDescent="0.55000000000000004">
      <c r="A17" s="265" t="s">
        <v>1078</v>
      </c>
      <c r="B17" s="289" t="s">
        <v>67</v>
      </c>
      <c r="C17" s="290">
        <v>947</v>
      </c>
      <c r="D17" s="291">
        <v>0</v>
      </c>
      <c r="E17" s="291">
        <v>14</v>
      </c>
      <c r="F17" s="291">
        <v>3</v>
      </c>
      <c r="G17" s="291">
        <v>2</v>
      </c>
      <c r="H17" s="291">
        <v>0</v>
      </c>
      <c r="I17" s="292">
        <f>SUM(C17:H17)</f>
        <v>966</v>
      </c>
      <c r="J17" s="291">
        <v>9</v>
      </c>
      <c r="K17" s="291">
        <v>53</v>
      </c>
      <c r="L17" s="291">
        <v>902</v>
      </c>
      <c r="M17" s="291">
        <v>2</v>
      </c>
      <c r="N17" s="293">
        <f>SUM(J17:M17)</f>
        <v>966</v>
      </c>
    </row>
    <row r="18" spans="1:21" s="9" customFormat="1" ht="20.149999999999999" customHeight="1" x14ac:dyDescent="0.55000000000000004">
      <c r="A18" s="34"/>
      <c r="B18" s="294" t="s">
        <v>68</v>
      </c>
      <c r="C18" s="295">
        <v>672</v>
      </c>
      <c r="D18" s="296">
        <v>0</v>
      </c>
      <c r="E18" s="296">
        <v>18</v>
      </c>
      <c r="F18" s="296">
        <v>0</v>
      </c>
      <c r="G18" s="296">
        <v>2</v>
      </c>
      <c r="H18" s="296">
        <v>0</v>
      </c>
      <c r="I18" s="297">
        <f t="shared" ref="I18:I21" si="2">SUM(C18:H18)</f>
        <v>692</v>
      </c>
      <c r="J18" s="296">
        <v>41</v>
      </c>
      <c r="K18" s="296">
        <v>65</v>
      </c>
      <c r="L18" s="296">
        <v>584</v>
      </c>
      <c r="M18" s="296">
        <v>2</v>
      </c>
      <c r="N18" s="298">
        <f>SUM(J18:M18)</f>
        <v>692</v>
      </c>
      <c r="O18" s="30"/>
      <c r="P18" s="31"/>
      <c r="Q18" s="31"/>
      <c r="R18" s="31"/>
      <c r="S18" s="31"/>
      <c r="T18" s="31"/>
      <c r="U18" s="31"/>
    </row>
    <row r="19" spans="1:21" s="9" customFormat="1" ht="20.149999999999999" customHeight="1" x14ac:dyDescent="0.55000000000000004">
      <c r="A19" s="34"/>
      <c r="B19" s="294" t="s">
        <v>69</v>
      </c>
      <c r="C19" s="295">
        <v>1946</v>
      </c>
      <c r="D19" s="296">
        <v>0</v>
      </c>
      <c r="E19" s="296">
        <v>43</v>
      </c>
      <c r="F19" s="296">
        <v>0</v>
      </c>
      <c r="G19" s="296">
        <v>5</v>
      </c>
      <c r="H19" s="296">
        <v>0</v>
      </c>
      <c r="I19" s="297">
        <f t="shared" si="2"/>
        <v>1994</v>
      </c>
      <c r="J19" s="296">
        <v>276</v>
      </c>
      <c r="K19" s="296">
        <v>235</v>
      </c>
      <c r="L19" s="296">
        <v>1476</v>
      </c>
      <c r="M19" s="296">
        <v>7</v>
      </c>
      <c r="N19" s="298">
        <f>SUM(J19:M19)</f>
        <v>1994</v>
      </c>
      <c r="O19" s="32"/>
      <c r="P19" s="32"/>
      <c r="Q19" s="32"/>
      <c r="R19" s="22"/>
      <c r="S19" s="22"/>
      <c r="T19" s="22"/>
      <c r="U19" s="22"/>
    </row>
    <row r="20" spans="1:21" s="9" customFormat="1" ht="20.149999999999999" customHeight="1" x14ac:dyDescent="0.55000000000000004">
      <c r="A20" s="34"/>
      <c r="B20" s="294" t="s">
        <v>70</v>
      </c>
      <c r="C20" s="295">
        <v>6873</v>
      </c>
      <c r="D20" s="296">
        <v>0</v>
      </c>
      <c r="E20" s="296">
        <v>381</v>
      </c>
      <c r="F20" s="296">
        <v>0</v>
      </c>
      <c r="G20" s="296">
        <v>4</v>
      </c>
      <c r="H20" s="296">
        <v>2</v>
      </c>
      <c r="I20" s="297">
        <f t="shared" si="2"/>
        <v>7260</v>
      </c>
      <c r="J20" s="296">
        <v>3684</v>
      </c>
      <c r="K20" s="296">
        <v>1041</v>
      </c>
      <c r="L20" s="296">
        <v>2515</v>
      </c>
      <c r="M20" s="296">
        <v>20</v>
      </c>
      <c r="N20" s="298">
        <f>SUM(J20:M20)</f>
        <v>7260</v>
      </c>
      <c r="O20" s="26"/>
      <c r="P20" s="26"/>
      <c r="Q20" s="26"/>
      <c r="R20" s="26"/>
      <c r="S20" s="26"/>
      <c r="T20" s="26"/>
      <c r="U20" s="26"/>
    </row>
    <row r="21" spans="1:21" s="22" customFormat="1" ht="20.149999999999999" customHeight="1" thickBot="1" x14ac:dyDescent="0.6">
      <c r="A21" s="34"/>
      <c r="B21" s="299" t="s">
        <v>61</v>
      </c>
      <c r="C21" s="300">
        <v>31727</v>
      </c>
      <c r="D21" s="301">
        <v>351</v>
      </c>
      <c r="E21" s="301">
        <v>846</v>
      </c>
      <c r="F21" s="301">
        <v>1891</v>
      </c>
      <c r="G21" s="301">
        <v>8</v>
      </c>
      <c r="H21" s="301">
        <v>6</v>
      </c>
      <c r="I21" s="302">
        <f t="shared" si="2"/>
        <v>34829</v>
      </c>
      <c r="J21" s="301">
        <v>30796</v>
      </c>
      <c r="K21" s="301">
        <v>1338</v>
      </c>
      <c r="L21" s="301">
        <v>2526</v>
      </c>
      <c r="M21" s="301">
        <v>169</v>
      </c>
      <c r="N21" s="303">
        <f>SUM(J21:M21)</f>
        <v>34829</v>
      </c>
      <c r="O21" s="25"/>
      <c r="P21" s="25"/>
      <c r="Q21" s="25"/>
      <c r="R21" s="25"/>
      <c r="S21" s="25"/>
      <c r="T21" s="25"/>
      <c r="U21" s="25"/>
    </row>
    <row r="22" spans="1:21" s="255" customFormat="1" ht="20.149999999999999" customHeight="1" thickTop="1" x14ac:dyDescent="0.55000000000000004">
      <c r="A22" s="34"/>
      <c r="B22" s="304" t="s">
        <v>62</v>
      </c>
      <c r="C22" s="305">
        <f t="shared" ref="C22:N22" si="3">SUM(C17:C21)</f>
        <v>42165</v>
      </c>
      <c r="D22" s="306">
        <f t="shared" si="3"/>
        <v>351</v>
      </c>
      <c r="E22" s="306">
        <f t="shared" si="3"/>
        <v>1302</v>
      </c>
      <c r="F22" s="306">
        <f t="shared" si="3"/>
        <v>1894</v>
      </c>
      <c r="G22" s="306">
        <f t="shared" si="3"/>
        <v>21</v>
      </c>
      <c r="H22" s="306">
        <f t="shared" si="3"/>
        <v>8</v>
      </c>
      <c r="I22" s="307">
        <f t="shared" si="3"/>
        <v>45741</v>
      </c>
      <c r="J22" s="306">
        <f t="shared" si="3"/>
        <v>34806</v>
      </c>
      <c r="K22" s="306">
        <f t="shared" si="3"/>
        <v>2732</v>
      </c>
      <c r="L22" s="306">
        <f t="shared" si="3"/>
        <v>8003</v>
      </c>
      <c r="M22" s="306">
        <f t="shared" si="3"/>
        <v>200</v>
      </c>
      <c r="N22" s="307">
        <f t="shared" si="3"/>
        <v>45741</v>
      </c>
      <c r="O22" s="25"/>
      <c r="P22" s="25"/>
      <c r="Q22" s="25"/>
      <c r="R22" s="25"/>
      <c r="S22" s="25"/>
      <c r="T22" s="25"/>
      <c r="U22" s="25"/>
    </row>
    <row r="23" spans="1:21" s="253" customFormat="1" ht="20.149999999999999" customHeight="1" x14ac:dyDescent="0.55000000000000004">
      <c r="A23" s="265" t="s">
        <v>38</v>
      </c>
      <c r="B23" s="289" t="s">
        <v>67</v>
      </c>
      <c r="C23" s="290">
        <v>943</v>
      </c>
      <c r="D23" s="291"/>
      <c r="E23" s="291">
        <v>14</v>
      </c>
      <c r="F23" s="291">
        <v>3</v>
      </c>
      <c r="G23" s="291">
        <v>2</v>
      </c>
      <c r="H23" s="291"/>
      <c r="I23" s="292">
        <f>SUM(C23:H23)</f>
        <v>962</v>
      </c>
      <c r="J23" s="291">
        <v>10</v>
      </c>
      <c r="K23" s="291">
        <v>53</v>
      </c>
      <c r="L23" s="291">
        <v>897</v>
      </c>
      <c r="M23" s="291">
        <v>2</v>
      </c>
      <c r="N23" s="293">
        <f>SUM(J23:M23)</f>
        <v>962</v>
      </c>
    </row>
    <row r="24" spans="1:21" s="9" customFormat="1" ht="20.149999999999999" customHeight="1" x14ac:dyDescent="0.55000000000000004">
      <c r="A24" s="34"/>
      <c r="B24" s="294" t="s">
        <v>68</v>
      </c>
      <c r="C24" s="295">
        <v>691</v>
      </c>
      <c r="D24" s="296"/>
      <c r="E24" s="296">
        <v>18</v>
      </c>
      <c r="F24" s="296"/>
      <c r="G24" s="296">
        <v>2</v>
      </c>
      <c r="H24" s="296"/>
      <c r="I24" s="297">
        <f t="shared" ref="I24:I27" si="4">SUM(C24:H24)</f>
        <v>711</v>
      </c>
      <c r="J24" s="296">
        <v>39</v>
      </c>
      <c r="K24" s="296">
        <v>70</v>
      </c>
      <c r="L24" s="296">
        <v>600</v>
      </c>
      <c r="M24" s="296">
        <v>2</v>
      </c>
      <c r="N24" s="298">
        <f>SUM(J24:M24)</f>
        <v>711</v>
      </c>
      <c r="O24" s="30"/>
      <c r="P24" s="31"/>
      <c r="Q24" s="31"/>
      <c r="R24" s="31"/>
      <c r="S24" s="31"/>
      <c r="T24" s="31"/>
      <c r="U24" s="31"/>
    </row>
    <row r="25" spans="1:21" s="9" customFormat="1" ht="20.149999999999999" customHeight="1" x14ac:dyDescent="0.55000000000000004">
      <c r="A25" s="34"/>
      <c r="B25" s="294" t="s">
        <v>69</v>
      </c>
      <c r="C25" s="295">
        <v>1944</v>
      </c>
      <c r="D25" s="296"/>
      <c r="E25" s="296">
        <v>43</v>
      </c>
      <c r="F25" s="296"/>
      <c r="G25" s="296">
        <v>5</v>
      </c>
      <c r="H25" s="296"/>
      <c r="I25" s="297">
        <f t="shared" si="4"/>
        <v>1992</v>
      </c>
      <c r="J25" s="296">
        <v>268</v>
      </c>
      <c r="K25" s="296">
        <v>233</v>
      </c>
      <c r="L25" s="296">
        <v>1483</v>
      </c>
      <c r="M25" s="296">
        <v>8</v>
      </c>
      <c r="N25" s="298">
        <f>SUM(J25:M25)</f>
        <v>1992</v>
      </c>
      <c r="O25" s="32"/>
      <c r="P25" s="32"/>
      <c r="Q25" s="32"/>
      <c r="R25" s="22"/>
      <c r="S25" s="22"/>
      <c r="T25" s="22"/>
      <c r="U25" s="22"/>
    </row>
    <row r="26" spans="1:21" s="9" customFormat="1" ht="20.149999999999999" customHeight="1" x14ac:dyDescent="0.55000000000000004">
      <c r="A26" s="34"/>
      <c r="B26" s="294" t="s">
        <v>70</v>
      </c>
      <c r="C26" s="295">
        <v>6888</v>
      </c>
      <c r="D26" s="296"/>
      <c r="E26" s="296">
        <v>387</v>
      </c>
      <c r="F26" s="296"/>
      <c r="G26" s="296">
        <v>3</v>
      </c>
      <c r="H26" s="296">
        <v>2</v>
      </c>
      <c r="I26" s="297">
        <f t="shared" si="4"/>
        <v>7280</v>
      </c>
      <c r="J26" s="296">
        <v>3681</v>
      </c>
      <c r="K26" s="296">
        <v>1035</v>
      </c>
      <c r="L26" s="296">
        <v>2546</v>
      </c>
      <c r="M26" s="296">
        <v>18</v>
      </c>
      <c r="N26" s="298">
        <f>SUM(J26:M26)</f>
        <v>7280</v>
      </c>
      <c r="O26" s="26"/>
      <c r="P26" s="26"/>
      <c r="Q26" s="26"/>
      <c r="R26" s="26"/>
      <c r="S26" s="26"/>
      <c r="T26" s="26"/>
      <c r="U26" s="26"/>
    </row>
    <row r="27" spans="1:21" s="22" customFormat="1" ht="20.149999999999999" customHeight="1" thickBot="1" x14ac:dyDescent="0.6">
      <c r="A27" s="34"/>
      <c r="B27" s="299" t="s">
        <v>61</v>
      </c>
      <c r="C27" s="300">
        <v>30868</v>
      </c>
      <c r="D27" s="301">
        <v>315</v>
      </c>
      <c r="E27" s="301">
        <v>825</v>
      </c>
      <c r="F27" s="301">
        <v>1867</v>
      </c>
      <c r="G27" s="301">
        <v>4</v>
      </c>
      <c r="H27" s="301">
        <v>6</v>
      </c>
      <c r="I27" s="302">
        <f t="shared" si="4"/>
        <v>33885</v>
      </c>
      <c r="J27" s="301">
        <v>29868</v>
      </c>
      <c r="K27" s="301">
        <v>1356</v>
      </c>
      <c r="L27" s="301">
        <v>2495</v>
      </c>
      <c r="M27" s="301">
        <v>166</v>
      </c>
      <c r="N27" s="303">
        <f>SUM(J27:M27)</f>
        <v>33885</v>
      </c>
      <c r="O27" s="25"/>
      <c r="P27" s="25"/>
      <c r="Q27" s="25"/>
      <c r="R27" s="25"/>
      <c r="S27" s="25"/>
      <c r="T27" s="25"/>
      <c r="U27" s="25"/>
    </row>
    <row r="28" spans="1:21" s="255" customFormat="1" ht="20.149999999999999" customHeight="1" thickTop="1" x14ac:dyDescent="0.55000000000000004">
      <c r="A28" s="34"/>
      <c r="B28" s="304" t="s">
        <v>62</v>
      </c>
      <c r="C28" s="305">
        <f t="shared" ref="C28:N28" si="5">SUM(C23:C27)</f>
        <v>41334</v>
      </c>
      <c r="D28" s="306">
        <f t="shared" si="5"/>
        <v>315</v>
      </c>
      <c r="E28" s="306">
        <f t="shared" si="5"/>
        <v>1287</v>
      </c>
      <c r="F28" s="306">
        <f t="shared" si="5"/>
        <v>1870</v>
      </c>
      <c r="G28" s="306">
        <f t="shared" si="5"/>
        <v>16</v>
      </c>
      <c r="H28" s="306">
        <f t="shared" si="5"/>
        <v>8</v>
      </c>
      <c r="I28" s="307">
        <f t="shared" si="5"/>
        <v>44830</v>
      </c>
      <c r="J28" s="306">
        <f t="shared" si="5"/>
        <v>33866</v>
      </c>
      <c r="K28" s="306">
        <f t="shared" si="5"/>
        <v>2747</v>
      </c>
      <c r="L28" s="306">
        <f t="shared" si="5"/>
        <v>8021</v>
      </c>
      <c r="M28" s="306">
        <f t="shared" si="5"/>
        <v>196</v>
      </c>
      <c r="N28" s="307">
        <f t="shared" si="5"/>
        <v>44830</v>
      </c>
      <c r="O28" s="25"/>
      <c r="P28" s="25"/>
      <c r="Q28" s="25"/>
      <c r="R28" s="25"/>
      <c r="S28" s="25"/>
      <c r="T28" s="25"/>
      <c r="U28" s="25"/>
    </row>
    <row r="29" spans="1:21" s="255" customFormat="1" ht="20.149999999999999" customHeight="1" x14ac:dyDescent="0.55000000000000004">
      <c r="A29" s="265" t="s">
        <v>1</v>
      </c>
      <c r="B29" s="289" t="s">
        <v>67</v>
      </c>
      <c r="C29" s="290">
        <v>958</v>
      </c>
      <c r="D29" s="291">
        <v>0</v>
      </c>
      <c r="E29" s="291">
        <v>14</v>
      </c>
      <c r="F29" s="291">
        <v>3</v>
      </c>
      <c r="G29" s="291">
        <v>2</v>
      </c>
      <c r="H29" s="291">
        <v>0</v>
      </c>
      <c r="I29" s="292">
        <f>SUM(C29:H29)</f>
        <v>977</v>
      </c>
      <c r="J29" s="291">
        <v>11</v>
      </c>
      <c r="K29" s="291">
        <v>51</v>
      </c>
      <c r="L29" s="291">
        <v>913</v>
      </c>
      <c r="M29" s="291">
        <v>2</v>
      </c>
      <c r="N29" s="293">
        <f>SUM(J29:M29)</f>
        <v>977</v>
      </c>
      <c r="O29" s="25"/>
      <c r="P29" s="25"/>
      <c r="Q29" s="25"/>
      <c r="R29" s="25"/>
      <c r="S29" s="25"/>
      <c r="T29" s="25"/>
      <c r="U29" s="25"/>
    </row>
    <row r="30" spans="1:21" s="255" customFormat="1" ht="20.149999999999999" customHeight="1" x14ac:dyDescent="0.55000000000000004">
      <c r="A30" s="34"/>
      <c r="B30" s="294" t="s">
        <v>68</v>
      </c>
      <c r="C30" s="295">
        <v>695</v>
      </c>
      <c r="D30" s="296">
        <v>0</v>
      </c>
      <c r="E30" s="296">
        <v>17</v>
      </c>
      <c r="F30" s="296">
        <v>0</v>
      </c>
      <c r="G30" s="296">
        <v>2</v>
      </c>
      <c r="H30" s="296">
        <v>0</v>
      </c>
      <c r="I30" s="297">
        <f>SUM(C30:H30)</f>
        <v>714</v>
      </c>
      <c r="J30" s="296">
        <v>37</v>
      </c>
      <c r="K30" s="296">
        <v>63</v>
      </c>
      <c r="L30" s="296">
        <v>612</v>
      </c>
      <c r="M30" s="296">
        <v>2</v>
      </c>
      <c r="N30" s="298">
        <f>SUM(J30:M30)</f>
        <v>714</v>
      </c>
      <c r="O30" s="25"/>
      <c r="P30" s="25"/>
      <c r="Q30" s="25"/>
      <c r="R30" s="25"/>
      <c r="S30" s="25"/>
      <c r="T30" s="25"/>
      <c r="U30" s="25"/>
    </row>
    <row r="31" spans="1:21" s="255" customFormat="1" ht="20.149999999999999" customHeight="1" x14ac:dyDescent="0.55000000000000004">
      <c r="A31" s="34"/>
      <c r="B31" s="294" t="s">
        <v>69</v>
      </c>
      <c r="C31" s="295">
        <v>1929</v>
      </c>
      <c r="D31" s="296">
        <v>0</v>
      </c>
      <c r="E31" s="296">
        <v>46</v>
      </c>
      <c r="F31" s="296">
        <v>0</v>
      </c>
      <c r="G31" s="296">
        <v>5</v>
      </c>
      <c r="H31" s="296">
        <v>0</v>
      </c>
      <c r="I31" s="297">
        <f>SUM(C31:H31)</f>
        <v>1980</v>
      </c>
      <c r="J31" s="296">
        <v>255</v>
      </c>
      <c r="K31" s="296">
        <v>242</v>
      </c>
      <c r="L31" s="296">
        <v>1476</v>
      </c>
      <c r="M31" s="296">
        <v>7</v>
      </c>
      <c r="N31" s="298">
        <f>SUM(J31:M31)</f>
        <v>1980</v>
      </c>
      <c r="O31" s="25"/>
      <c r="P31" s="25"/>
      <c r="Q31" s="25"/>
      <c r="R31" s="25"/>
      <c r="S31" s="25"/>
      <c r="T31" s="25"/>
      <c r="U31" s="25"/>
    </row>
    <row r="32" spans="1:21" s="255" customFormat="1" ht="20.149999999999999" customHeight="1" x14ac:dyDescent="0.55000000000000004">
      <c r="A32" s="34"/>
      <c r="B32" s="294" t="s">
        <v>70</v>
      </c>
      <c r="C32" s="295">
        <v>6890</v>
      </c>
      <c r="D32" s="296">
        <v>0</v>
      </c>
      <c r="E32" s="296">
        <v>386</v>
      </c>
      <c r="F32" s="296">
        <v>0</v>
      </c>
      <c r="G32" s="296">
        <v>3</v>
      </c>
      <c r="H32" s="296">
        <v>2</v>
      </c>
      <c r="I32" s="297">
        <f>SUM(C32:H32)</f>
        <v>7281</v>
      </c>
      <c r="J32" s="296">
        <v>3648</v>
      </c>
      <c r="K32" s="296">
        <v>1044</v>
      </c>
      <c r="L32" s="296">
        <v>2571</v>
      </c>
      <c r="M32" s="296">
        <v>18</v>
      </c>
      <c r="N32" s="298">
        <f>SUM(J32:M32)</f>
        <v>7281</v>
      </c>
      <c r="O32" s="25"/>
      <c r="P32" s="25"/>
      <c r="Q32" s="25"/>
      <c r="R32" s="25"/>
      <c r="S32" s="25"/>
      <c r="T32" s="25"/>
      <c r="U32" s="25"/>
    </row>
    <row r="33" spans="1:21" s="255" customFormat="1" ht="20.149999999999999" customHeight="1" thickBot="1" x14ac:dyDescent="0.6">
      <c r="A33" s="34"/>
      <c r="B33" s="299" t="s">
        <v>61</v>
      </c>
      <c r="C33" s="300">
        <v>29829</v>
      </c>
      <c r="D33" s="301">
        <v>290</v>
      </c>
      <c r="E33" s="301">
        <v>792</v>
      </c>
      <c r="F33" s="301">
        <v>1792</v>
      </c>
      <c r="G33" s="301">
        <v>4</v>
      </c>
      <c r="H33" s="301">
        <v>6</v>
      </c>
      <c r="I33" s="302">
        <f>SUM(C33:H33)</f>
        <v>32713</v>
      </c>
      <c r="J33" s="301">
        <v>28872</v>
      </c>
      <c r="K33" s="301">
        <v>1300</v>
      </c>
      <c r="L33" s="301">
        <v>2379</v>
      </c>
      <c r="M33" s="301">
        <v>162</v>
      </c>
      <c r="N33" s="303">
        <f>SUM(J33:M33)</f>
        <v>32713</v>
      </c>
      <c r="O33" s="25"/>
      <c r="P33" s="25"/>
      <c r="Q33" s="25"/>
      <c r="R33" s="25"/>
      <c r="S33" s="25"/>
      <c r="T33" s="25"/>
      <c r="U33" s="25"/>
    </row>
    <row r="34" spans="1:21" s="255" customFormat="1" ht="20.149999999999999" customHeight="1" thickTop="1" x14ac:dyDescent="0.55000000000000004">
      <c r="A34" s="34"/>
      <c r="B34" s="304" t="s">
        <v>62</v>
      </c>
      <c r="C34" s="305">
        <f t="shared" ref="C34:N34" si="6">SUM(C29:C33)</f>
        <v>40301</v>
      </c>
      <c r="D34" s="306">
        <f t="shared" si="6"/>
        <v>290</v>
      </c>
      <c r="E34" s="306">
        <f t="shared" si="6"/>
        <v>1255</v>
      </c>
      <c r="F34" s="306">
        <f t="shared" si="6"/>
        <v>1795</v>
      </c>
      <c r="G34" s="306">
        <f t="shared" si="6"/>
        <v>16</v>
      </c>
      <c r="H34" s="306">
        <f t="shared" si="6"/>
        <v>8</v>
      </c>
      <c r="I34" s="307">
        <f t="shared" si="6"/>
        <v>43665</v>
      </c>
      <c r="J34" s="306">
        <f t="shared" si="6"/>
        <v>32823</v>
      </c>
      <c r="K34" s="306">
        <f t="shared" si="6"/>
        <v>2700</v>
      </c>
      <c r="L34" s="306">
        <f t="shared" si="6"/>
        <v>7951</v>
      </c>
      <c r="M34" s="306">
        <f t="shared" si="6"/>
        <v>191</v>
      </c>
      <c r="N34" s="307">
        <f t="shared" si="6"/>
        <v>43665</v>
      </c>
      <c r="O34" s="25"/>
      <c r="P34" s="25"/>
      <c r="Q34" s="25"/>
      <c r="R34" s="25"/>
      <c r="S34" s="25"/>
      <c r="T34" s="25"/>
      <c r="U34" s="25"/>
    </row>
    <row r="35" spans="1:21" s="255" customFormat="1" ht="20.149999999999999" customHeight="1" x14ac:dyDescent="0.55000000000000004">
      <c r="A35" s="265" t="s">
        <v>39</v>
      </c>
      <c r="B35" s="289" t="s">
        <v>67</v>
      </c>
      <c r="C35" s="290">
        <v>950</v>
      </c>
      <c r="D35" s="291"/>
      <c r="E35" s="291">
        <v>14</v>
      </c>
      <c r="F35" s="291">
        <v>3</v>
      </c>
      <c r="G35" s="291">
        <v>4</v>
      </c>
      <c r="H35" s="291"/>
      <c r="I35" s="292">
        <f>SUM(C35:H35)</f>
        <v>971</v>
      </c>
      <c r="J35" s="291">
        <v>11</v>
      </c>
      <c r="K35" s="291">
        <v>50</v>
      </c>
      <c r="L35" s="291">
        <v>906</v>
      </c>
      <c r="M35" s="291">
        <v>4</v>
      </c>
      <c r="N35" s="293">
        <f>SUM(J35:M35)</f>
        <v>971</v>
      </c>
      <c r="O35" s="25"/>
      <c r="P35" s="25"/>
      <c r="Q35" s="25"/>
      <c r="R35" s="25"/>
      <c r="S35" s="25"/>
      <c r="T35" s="25"/>
      <c r="U35" s="25"/>
    </row>
    <row r="36" spans="1:21" s="255" customFormat="1" ht="20.149999999999999" customHeight="1" x14ac:dyDescent="0.55000000000000004">
      <c r="A36" s="34"/>
      <c r="B36" s="294" t="s">
        <v>68</v>
      </c>
      <c r="C36" s="295">
        <v>713</v>
      </c>
      <c r="D36" s="296"/>
      <c r="E36" s="296">
        <v>19</v>
      </c>
      <c r="F36" s="296"/>
      <c r="G36" s="296">
        <v>2</v>
      </c>
      <c r="H36" s="296"/>
      <c r="I36" s="297">
        <f>SUM(C36:H36)</f>
        <v>734</v>
      </c>
      <c r="J36" s="296">
        <v>34</v>
      </c>
      <c r="K36" s="296">
        <v>63</v>
      </c>
      <c r="L36" s="296">
        <v>634</v>
      </c>
      <c r="M36" s="296">
        <v>3</v>
      </c>
      <c r="N36" s="298">
        <f>SUM(J36:M36)</f>
        <v>734</v>
      </c>
      <c r="O36" s="25"/>
      <c r="P36" s="25"/>
      <c r="Q36" s="25"/>
      <c r="R36" s="25"/>
      <c r="S36" s="25"/>
      <c r="T36" s="25"/>
      <c r="U36" s="25"/>
    </row>
    <row r="37" spans="1:21" s="255" customFormat="1" ht="20.149999999999999" customHeight="1" x14ac:dyDescent="0.55000000000000004">
      <c r="A37" s="34"/>
      <c r="B37" s="294" t="s">
        <v>69</v>
      </c>
      <c r="C37" s="295">
        <v>1900</v>
      </c>
      <c r="D37" s="296"/>
      <c r="E37" s="296">
        <v>47</v>
      </c>
      <c r="F37" s="296"/>
      <c r="G37" s="296">
        <v>6</v>
      </c>
      <c r="H37" s="296"/>
      <c r="I37" s="297">
        <f>SUM(C37:H37)</f>
        <v>1953</v>
      </c>
      <c r="J37" s="296">
        <v>257</v>
      </c>
      <c r="K37" s="296">
        <v>233</v>
      </c>
      <c r="L37" s="296">
        <v>1455</v>
      </c>
      <c r="M37" s="296">
        <v>8</v>
      </c>
      <c r="N37" s="298">
        <f>SUM(J37:M37)</f>
        <v>1953</v>
      </c>
      <c r="O37" s="25"/>
      <c r="P37" s="25"/>
      <c r="Q37" s="25"/>
      <c r="R37" s="25"/>
      <c r="S37" s="25"/>
      <c r="T37" s="25"/>
      <c r="U37" s="25"/>
    </row>
    <row r="38" spans="1:21" s="255" customFormat="1" ht="20.149999999999999" customHeight="1" x14ac:dyDescent="0.55000000000000004">
      <c r="A38" s="34"/>
      <c r="B38" s="294" t="s">
        <v>70</v>
      </c>
      <c r="C38" s="295">
        <v>6878</v>
      </c>
      <c r="D38" s="296"/>
      <c r="E38" s="296">
        <v>392</v>
      </c>
      <c r="F38" s="296"/>
      <c r="G38" s="296">
        <v>3</v>
      </c>
      <c r="H38" s="296">
        <v>2</v>
      </c>
      <c r="I38" s="297">
        <f>SUM(C38:H38)</f>
        <v>7275</v>
      </c>
      <c r="J38" s="296">
        <v>3641</v>
      </c>
      <c r="K38" s="296">
        <v>1043</v>
      </c>
      <c r="L38" s="296">
        <v>2574</v>
      </c>
      <c r="M38" s="296">
        <v>17</v>
      </c>
      <c r="N38" s="298">
        <f>SUM(J38:M38)</f>
        <v>7275</v>
      </c>
      <c r="O38" s="25"/>
      <c r="P38" s="25"/>
      <c r="Q38" s="25"/>
      <c r="R38" s="25"/>
      <c r="S38" s="25"/>
      <c r="T38" s="25"/>
      <c r="U38" s="25"/>
    </row>
    <row r="39" spans="1:21" s="255" customFormat="1" ht="20.149999999999999" customHeight="1" thickBot="1" x14ac:dyDescent="0.6">
      <c r="A39" s="34"/>
      <c r="B39" s="299" t="s">
        <v>61</v>
      </c>
      <c r="C39" s="300">
        <v>29013</v>
      </c>
      <c r="D39" s="301">
        <v>276</v>
      </c>
      <c r="E39" s="301">
        <v>757</v>
      </c>
      <c r="F39" s="301">
        <v>1746</v>
      </c>
      <c r="G39" s="301">
        <v>4</v>
      </c>
      <c r="H39" s="301">
        <v>7</v>
      </c>
      <c r="I39" s="302">
        <f>SUM(C39:H39)</f>
        <v>31803</v>
      </c>
      <c r="J39" s="301">
        <v>28037</v>
      </c>
      <c r="K39" s="301">
        <v>1298</v>
      </c>
      <c r="L39" s="301">
        <v>2318</v>
      </c>
      <c r="M39" s="301">
        <v>150</v>
      </c>
      <c r="N39" s="303">
        <f>SUM(J39:M39)</f>
        <v>31803</v>
      </c>
      <c r="O39" s="25"/>
      <c r="P39" s="25"/>
      <c r="Q39" s="25"/>
      <c r="R39" s="25"/>
      <c r="S39" s="25"/>
      <c r="T39" s="25"/>
      <c r="U39" s="25"/>
    </row>
    <row r="40" spans="1:21" s="255" customFormat="1" ht="20.149999999999999" customHeight="1" thickTop="1" x14ac:dyDescent="0.55000000000000004">
      <c r="A40" s="273"/>
      <c r="B40" s="308" t="s">
        <v>62</v>
      </c>
      <c r="C40" s="309">
        <f t="shared" ref="C40:N40" si="7">SUM(C35:C39)</f>
        <v>39454</v>
      </c>
      <c r="D40" s="310">
        <f t="shared" si="7"/>
        <v>276</v>
      </c>
      <c r="E40" s="310">
        <f t="shared" si="7"/>
        <v>1229</v>
      </c>
      <c r="F40" s="310">
        <f t="shared" si="7"/>
        <v>1749</v>
      </c>
      <c r="G40" s="310">
        <f t="shared" si="7"/>
        <v>19</v>
      </c>
      <c r="H40" s="310">
        <f t="shared" si="7"/>
        <v>9</v>
      </c>
      <c r="I40" s="311">
        <f t="shared" si="7"/>
        <v>42736</v>
      </c>
      <c r="J40" s="310">
        <f t="shared" si="7"/>
        <v>31980</v>
      </c>
      <c r="K40" s="310">
        <f t="shared" si="7"/>
        <v>2687</v>
      </c>
      <c r="L40" s="310">
        <f t="shared" si="7"/>
        <v>7887</v>
      </c>
      <c r="M40" s="310">
        <f t="shared" si="7"/>
        <v>182</v>
      </c>
      <c r="N40" s="311">
        <f t="shared" si="7"/>
        <v>42736</v>
      </c>
      <c r="O40" s="25"/>
      <c r="P40" s="25"/>
      <c r="Q40" s="25"/>
      <c r="R40" s="25"/>
      <c r="S40" s="25"/>
      <c r="T40" s="25"/>
      <c r="U40" s="25"/>
    </row>
    <row r="41" spans="1:21" s="255" customFormat="1" ht="20.149999999999999" customHeight="1" x14ac:dyDescent="0.55000000000000004">
      <c r="A41" s="265" t="s">
        <v>2</v>
      </c>
      <c r="B41" s="289" t="s">
        <v>67</v>
      </c>
      <c r="C41" s="290">
        <v>947</v>
      </c>
      <c r="D41" s="291"/>
      <c r="E41" s="291">
        <v>14</v>
      </c>
      <c r="F41" s="291">
        <v>3</v>
      </c>
      <c r="G41" s="291">
        <v>5</v>
      </c>
      <c r="H41" s="291"/>
      <c r="I41" s="292">
        <f>SUM(C41:H41)</f>
        <v>969</v>
      </c>
      <c r="J41" s="291">
        <v>12</v>
      </c>
      <c r="K41" s="291">
        <v>49</v>
      </c>
      <c r="L41" s="291">
        <v>903</v>
      </c>
      <c r="M41" s="312">
        <v>5</v>
      </c>
      <c r="N41" s="293">
        <f>SUM(J41:M41)</f>
        <v>969</v>
      </c>
      <c r="O41" s="25"/>
      <c r="P41" s="25"/>
      <c r="Q41" s="25"/>
      <c r="R41" s="25"/>
      <c r="S41" s="25"/>
      <c r="T41" s="25"/>
      <c r="U41" s="25"/>
    </row>
    <row r="42" spans="1:21" s="255" customFormat="1" ht="20.149999999999999" customHeight="1" x14ac:dyDescent="0.55000000000000004">
      <c r="A42" s="34"/>
      <c r="B42" s="294" t="s">
        <v>68</v>
      </c>
      <c r="C42" s="295">
        <v>703</v>
      </c>
      <c r="D42" s="296"/>
      <c r="E42" s="296">
        <v>16</v>
      </c>
      <c r="F42" s="296"/>
      <c r="G42" s="296">
        <v>2</v>
      </c>
      <c r="H42" s="296"/>
      <c r="I42" s="297">
        <f>SUM(C42:H42)</f>
        <v>721</v>
      </c>
      <c r="J42" s="296">
        <v>36</v>
      </c>
      <c r="K42" s="296">
        <v>65</v>
      </c>
      <c r="L42" s="296">
        <v>617</v>
      </c>
      <c r="M42" s="313">
        <v>3</v>
      </c>
      <c r="N42" s="298">
        <f>SUM(J42:M42)</f>
        <v>721</v>
      </c>
    </row>
    <row r="43" spans="1:21" s="255" customFormat="1" ht="20.149999999999999" customHeight="1" x14ac:dyDescent="0.55000000000000004">
      <c r="A43" s="34"/>
      <c r="B43" s="294" t="s">
        <v>69</v>
      </c>
      <c r="C43" s="295">
        <v>1887</v>
      </c>
      <c r="D43" s="296"/>
      <c r="E43" s="296">
        <v>48</v>
      </c>
      <c r="F43" s="296"/>
      <c r="G43" s="296">
        <v>5</v>
      </c>
      <c r="H43" s="296"/>
      <c r="I43" s="297">
        <f t="shared" ref="I43:I44" si="8">SUM(C43:H43)</f>
        <v>1940</v>
      </c>
      <c r="J43" s="296">
        <v>252</v>
      </c>
      <c r="K43" s="296">
        <v>237</v>
      </c>
      <c r="L43" s="296">
        <v>1444</v>
      </c>
      <c r="M43" s="313">
        <v>7</v>
      </c>
      <c r="N43" s="298">
        <f t="shared" ref="N43:N44" si="9">SUM(J43:M43)</f>
        <v>1940</v>
      </c>
    </row>
    <row r="44" spans="1:21" s="255" customFormat="1" ht="20.149999999999999" customHeight="1" x14ac:dyDescent="0.55000000000000004">
      <c r="A44" s="34"/>
      <c r="B44" s="294" t="s">
        <v>70</v>
      </c>
      <c r="C44" s="295">
        <v>6871</v>
      </c>
      <c r="D44" s="296"/>
      <c r="E44" s="296">
        <v>403</v>
      </c>
      <c r="F44" s="296"/>
      <c r="G44" s="296">
        <v>1</v>
      </c>
      <c r="H44" s="296">
        <v>2</v>
      </c>
      <c r="I44" s="297">
        <f t="shared" si="8"/>
        <v>7277</v>
      </c>
      <c r="J44" s="296">
        <v>3663</v>
      </c>
      <c r="K44" s="296">
        <v>1033</v>
      </c>
      <c r="L44" s="296">
        <v>2563</v>
      </c>
      <c r="M44" s="313">
        <v>18</v>
      </c>
      <c r="N44" s="298">
        <f t="shared" si="9"/>
        <v>7277</v>
      </c>
    </row>
    <row r="45" spans="1:21" s="255" customFormat="1" ht="20.149999999999999" customHeight="1" thickBot="1" x14ac:dyDescent="0.6">
      <c r="A45" s="34"/>
      <c r="B45" s="299" t="s">
        <v>61</v>
      </c>
      <c r="C45" s="300">
        <v>28660</v>
      </c>
      <c r="D45" s="301">
        <v>262</v>
      </c>
      <c r="E45" s="301">
        <v>742</v>
      </c>
      <c r="F45" s="301">
        <v>1569</v>
      </c>
      <c r="G45" s="301">
        <v>4</v>
      </c>
      <c r="H45" s="301">
        <v>12</v>
      </c>
      <c r="I45" s="302">
        <f>SUM(C45:H45)</f>
        <v>31249</v>
      </c>
      <c r="J45" s="301">
        <v>27552</v>
      </c>
      <c r="K45" s="301">
        <v>1257</v>
      </c>
      <c r="L45" s="301">
        <v>2302</v>
      </c>
      <c r="M45" s="314">
        <v>138</v>
      </c>
      <c r="N45" s="303">
        <f>SUM(J45:M45)</f>
        <v>31249</v>
      </c>
    </row>
    <row r="46" spans="1:21" s="255" customFormat="1" ht="20.149999999999999" customHeight="1" thickTop="1" x14ac:dyDescent="0.55000000000000004">
      <c r="A46" s="273"/>
      <c r="B46" s="308" t="s">
        <v>62</v>
      </c>
      <c r="C46" s="309">
        <f>SUM(C41:C45)</f>
        <v>39068</v>
      </c>
      <c r="D46" s="310">
        <f>SUM(D41:D45)</f>
        <v>262</v>
      </c>
      <c r="E46" s="310">
        <f t="shared" ref="E46:H46" si="10">SUM(E41:E45)</f>
        <v>1223</v>
      </c>
      <c r="F46" s="310">
        <f t="shared" si="10"/>
        <v>1572</v>
      </c>
      <c r="G46" s="310">
        <f t="shared" si="10"/>
        <v>17</v>
      </c>
      <c r="H46" s="310">
        <f t="shared" si="10"/>
        <v>14</v>
      </c>
      <c r="I46" s="311">
        <f>SUM(I41:I45)</f>
        <v>42156</v>
      </c>
      <c r="J46" s="310">
        <f>SUM(J41:J45)</f>
        <v>31515</v>
      </c>
      <c r="K46" s="310">
        <f>SUM(K41:K45)</f>
        <v>2641</v>
      </c>
      <c r="L46" s="310">
        <f t="shared" ref="L46:M46" si="11">SUM(L41:L45)</f>
        <v>7829</v>
      </c>
      <c r="M46" s="310">
        <f t="shared" si="11"/>
        <v>171</v>
      </c>
      <c r="N46" s="311">
        <f>SUM(N41:N45)</f>
        <v>42156</v>
      </c>
    </row>
    <row r="47" spans="1:21" s="255" customFormat="1" ht="20.149999999999999" customHeight="1" x14ac:dyDescent="0.55000000000000004">
      <c r="A47" s="265" t="s">
        <v>3</v>
      </c>
      <c r="B47" s="289" t="s">
        <v>67</v>
      </c>
      <c r="C47" s="290">
        <v>976</v>
      </c>
      <c r="D47" s="291"/>
      <c r="E47" s="291">
        <v>15</v>
      </c>
      <c r="F47" s="291">
        <v>2</v>
      </c>
      <c r="G47" s="291">
        <v>6</v>
      </c>
      <c r="H47" s="291"/>
      <c r="I47" s="292">
        <f>SUM(C47:H47)</f>
        <v>999</v>
      </c>
      <c r="J47" s="291">
        <v>17</v>
      </c>
      <c r="K47" s="291">
        <v>56</v>
      </c>
      <c r="L47" s="291">
        <v>920</v>
      </c>
      <c r="M47" s="312">
        <v>6</v>
      </c>
      <c r="N47" s="293">
        <f>SUM(J47:M47)</f>
        <v>999</v>
      </c>
    </row>
    <row r="48" spans="1:21" s="255" customFormat="1" ht="20.149999999999999" customHeight="1" x14ac:dyDescent="0.55000000000000004">
      <c r="A48" s="34"/>
      <c r="B48" s="294" t="s">
        <v>68</v>
      </c>
      <c r="C48" s="295">
        <v>671</v>
      </c>
      <c r="D48" s="296"/>
      <c r="E48" s="296">
        <v>18</v>
      </c>
      <c r="F48" s="296"/>
      <c r="G48" s="296">
        <v>2</v>
      </c>
      <c r="H48" s="296"/>
      <c r="I48" s="297">
        <f>SUM(C48:H48)</f>
        <v>691</v>
      </c>
      <c r="J48" s="296">
        <v>35</v>
      </c>
      <c r="K48" s="296">
        <v>57</v>
      </c>
      <c r="L48" s="296">
        <v>597</v>
      </c>
      <c r="M48" s="313">
        <v>2</v>
      </c>
      <c r="N48" s="298">
        <f>SUM(J48:M48)</f>
        <v>691</v>
      </c>
    </row>
    <row r="49" spans="1:14" s="255" customFormat="1" ht="20.149999999999999" customHeight="1" x14ac:dyDescent="0.55000000000000004">
      <c r="A49" s="34"/>
      <c r="B49" s="294" t="s">
        <v>69</v>
      </c>
      <c r="C49" s="295">
        <v>1876</v>
      </c>
      <c r="D49" s="296"/>
      <c r="E49" s="296">
        <v>50</v>
      </c>
      <c r="F49" s="296"/>
      <c r="G49" s="296">
        <v>5</v>
      </c>
      <c r="H49" s="296"/>
      <c r="I49" s="297">
        <f t="shared" ref="I49:I50" si="12">SUM(C49:H49)</f>
        <v>1931</v>
      </c>
      <c r="J49" s="296">
        <v>245</v>
      </c>
      <c r="K49" s="296">
        <v>230</v>
      </c>
      <c r="L49" s="296">
        <v>1450</v>
      </c>
      <c r="M49" s="313">
        <v>5</v>
      </c>
      <c r="N49" s="298">
        <f t="shared" ref="N49:N50" si="13">SUM(J49:M49)</f>
        <v>1930</v>
      </c>
    </row>
    <row r="50" spans="1:14" s="255" customFormat="1" ht="20.149999999999999" customHeight="1" x14ac:dyDescent="0.55000000000000004">
      <c r="A50" s="34"/>
      <c r="B50" s="294" t="s">
        <v>70</v>
      </c>
      <c r="C50" s="295">
        <v>6840</v>
      </c>
      <c r="D50" s="296"/>
      <c r="E50" s="296">
        <v>407</v>
      </c>
      <c r="F50" s="296"/>
      <c r="G50" s="296">
        <v>1</v>
      </c>
      <c r="H50" s="296">
        <v>2</v>
      </c>
      <c r="I50" s="297">
        <f t="shared" si="12"/>
        <v>7250</v>
      </c>
      <c r="J50" s="296">
        <v>3685</v>
      </c>
      <c r="K50" s="296">
        <v>1020</v>
      </c>
      <c r="L50" s="296">
        <v>2530</v>
      </c>
      <c r="M50" s="313">
        <v>16</v>
      </c>
      <c r="N50" s="298">
        <f t="shared" si="13"/>
        <v>7251</v>
      </c>
    </row>
    <row r="51" spans="1:14" s="255" customFormat="1" ht="20.149999999999999" customHeight="1" thickBot="1" x14ac:dyDescent="0.6">
      <c r="A51" s="34"/>
      <c r="B51" s="299" t="s">
        <v>61</v>
      </c>
      <c r="C51" s="300">
        <v>28148</v>
      </c>
      <c r="D51" s="301">
        <v>147</v>
      </c>
      <c r="E51" s="301">
        <v>702</v>
      </c>
      <c r="F51" s="301">
        <v>1469</v>
      </c>
      <c r="G51" s="301">
        <v>4</v>
      </c>
      <c r="H51" s="301">
        <v>12</v>
      </c>
      <c r="I51" s="302">
        <f>SUM(C51:H51)</f>
        <v>30482</v>
      </c>
      <c r="J51" s="301">
        <v>26891</v>
      </c>
      <c r="K51" s="301">
        <v>1214</v>
      </c>
      <c r="L51" s="301">
        <v>2240</v>
      </c>
      <c r="M51" s="314">
        <v>137</v>
      </c>
      <c r="N51" s="303">
        <f>SUM(J51:M51)</f>
        <v>30482</v>
      </c>
    </row>
    <row r="52" spans="1:14" s="255" customFormat="1" ht="20.149999999999999" customHeight="1" thickTop="1" x14ac:dyDescent="0.55000000000000004">
      <c r="A52" s="273"/>
      <c r="B52" s="308" t="s">
        <v>62</v>
      </c>
      <c r="C52" s="315">
        <f>SUM(C47:C51)</f>
        <v>38511</v>
      </c>
      <c r="D52" s="316">
        <f>SUM(D47:D51)</f>
        <v>147</v>
      </c>
      <c r="E52" s="316">
        <f t="shared" ref="E52:F52" si="14">SUM(E47:E51)</f>
        <v>1192</v>
      </c>
      <c r="F52" s="316">
        <f t="shared" si="14"/>
        <v>1471</v>
      </c>
      <c r="G52" s="316">
        <f>SUM(G47:G51)</f>
        <v>18</v>
      </c>
      <c r="H52" s="316">
        <f t="shared" ref="H52" si="15">SUM(H47:H51)</f>
        <v>14</v>
      </c>
      <c r="I52" s="317">
        <f>SUM(I47:I51)</f>
        <v>41353</v>
      </c>
      <c r="J52" s="316">
        <f>SUM(J47:J51)</f>
        <v>30873</v>
      </c>
      <c r="K52" s="316">
        <f>SUM(K47:K51)</f>
        <v>2577</v>
      </c>
      <c r="L52" s="316">
        <f t="shared" ref="L52:M52" si="16">SUM(L47:L51)</f>
        <v>7737</v>
      </c>
      <c r="M52" s="316">
        <f t="shared" si="16"/>
        <v>166</v>
      </c>
      <c r="N52" s="311">
        <f>SUM(N47:N51)</f>
        <v>41353</v>
      </c>
    </row>
    <row r="53" spans="1:14" ht="20.25" customHeight="1" x14ac:dyDescent="0.3">
      <c r="A53" s="318" t="s">
        <v>4</v>
      </c>
      <c r="B53" s="319" t="s">
        <v>67</v>
      </c>
      <c r="C53" s="320">
        <v>944</v>
      </c>
      <c r="D53" s="321"/>
      <c r="E53" s="321">
        <v>13</v>
      </c>
      <c r="F53" s="321">
        <v>3</v>
      </c>
      <c r="G53" s="321">
        <v>5</v>
      </c>
      <c r="H53" s="321"/>
      <c r="I53" s="322">
        <f>SUM(C53:H53)</f>
        <v>965</v>
      </c>
      <c r="J53" s="321">
        <v>13</v>
      </c>
      <c r="K53" s="321">
        <v>50</v>
      </c>
      <c r="L53" s="321">
        <v>898</v>
      </c>
      <c r="M53" s="323">
        <v>5</v>
      </c>
      <c r="N53" s="324">
        <f>SUM(J53:M53)</f>
        <v>966</v>
      </c>
    </row>
    <row r="54" spans="1:14" ht="20.25" customHeight="1" x14ac:dyDescent="0.3">
      <c r="A54" s="34"/>
      <c r="B54" s="294" t="s">
        <v>68</v>
      </c>
      <c r="C54" s="295">
        <v>681</v>
      </c>
      <c r="D54" s="296"/>
      <c r="E54" s="296">
        <v>16</v>
      </c>
      <c r="F54" s="296"/>
      <c r="G54" s="296">
        <v>2</v>
      </c>
      <c r="H54" s="296"/>
      <c r="I54" s="297">
        <f>SUM(C54:H54)</f>
        <v>699</v>
      </c>
      <c r="J54" s="296">
        <v>39</v>
      </c>
      <c r="K54" s="296">
        <v>61</v>
      </c>
      <c r="L54" s="296">
        <v>597</v>
      </c>
      <c r="M54" s="313">
        <v>2</v>
      </c>
      <c r="N54" s="298">
        <f>SUM(J54:M54)</f>
        <v>699</v>
      </c>
    </row>
    <row r="55" spans="1:14" ht="20.25" customHeight="1" x14ac:dyDescent="0.3">
      <c r="A55" s="34"/>
      <c r="B55" s="294" t="s">
        <v>69</v>
      </c>
      <c r="C55" s="295">
        <v>1828</v>
      </c>
      <c r="D55" s="296"/>
      <c r="E55" s="296">
        <v>52</v>
      </c>
      <c r="F55" s="296"/>
      <c r="G55" s="296">
        <v>4</v>
      </c>
      <c r="H55" s="296"/>
      <c r="I55" s="297">
        <f t="shared" ref="I55:I56" si="17">SUM(C55:H55)</f>
        <v>1884</v>
      </c>
      <c r="J55" s="296">
        <v>252</v>
      </c>
      <c r="K55" s="296">
        <v>220</v>
      </c>
      <c r="L55" s="296">
        <v>1409</v>
      </c>
      <c r="M55" s="313">
        <v>4</v>
      </c>
      <c r="N55" s="298">
        <f t="shared" ref="N55:N56" si="18">SUM(J55:M55)</f>
        <v>1885</v>
      </c>
    </row>
    <row r="56" spans="1:14" ht="20.25" customHeight="1" x14ac:dyDescent="0.3">
      <c r="A56" s="34"/>
      <c r="B56" s="294" t="s">
        <v>70</v>
      </c>
      <c r="C56" s="295">
        <v>6674</v>
      </c>
      <c r="D56" s="296"/>
      <c r="E56" s="296">
        <v>405</v>
      </c>
      <c r="F56" s="296">
        <v>1</v>
      </c>
      <c r="G56" s="296">
        <v>1</v>
      </c>
      <c r="H56" s="296">
        <v>2</v>
      </c>
      <c r="I56" s="297">
        <f t="shared" si="17"/>
        <v>7083</v>
      </c>
      <c r="J56" s="296">
        <v>3633</v>
      </c>
      <c r="K56" s="296">
        <v>1021</v>
      </c>
      <c r="L56" s="296">
        <v>2416</v>
      </c>
      <c r="M56" s="313">
        <v>17</v>
      </c>
      <c r="N56" s="298">
        <f t="shared" si="18"/>
        <v>7087</v>
      </c>
    </row>
    <row r="57" spans="1:14" ht="20.25" customHeight="1" thickBot="1" x14ac:dyDescent="0.35">
      <c r="A57" s="34"/>
      <c r="B57" s="299" t="s">
        <v>61</v>
      </c>
      <c r="C57" s="300">
        <v>27365</v>
      </c>
      <c r="D57" s="301">
        <v>236</v>
      </c>
      <c r="E57" s="301">
        <v>659</v>
      </c>
      <c r="F57" s="301">
        <v>1437</v>
      </c>
      <c r="G57" s="301">
        <v>3</v>
      </c>
      <c r="H57" s="301">
        <v>17</v>
      </c>
      <c r="I57" s="302">
        <f>SUM(C57:H57)</f>
        <v>29717</v>
      </c>
      <c r="J57" s="301">
        <v>26246</v>
      </c>
      <c r="K57" s="301">
        <v>1176</v>
      </c>
      <c r="L57" s="301">
        <v>2181</v>
      </c>
      <c r="M57" s="314">
        <v>108</v>
      </c>
      <c r="N57" s="303">
        <f>SUM(J57:M57)</f>
        <v>29711</v>
      </c>
    </row>
    <row r="58" spans="1:14" ht="20.25" customHeight="1" thickTop="1" x14ac:dyDescent="0.3">
      <c r="A58" s="273"/>
      <c r="B58" s="308" t="s">
        <v>62</v>
      </c>
      <c r="C58" s="315">
        <f>SUM(C53:C57)</f>
        <v>37492</v>
      </c>
      <c r="D58" s="316">
        <f>SUM(D53:D57)</f>
        <v>236</v>
      </c>
      <c r="E58" s="316">
        <f t="shared" ref="E58:H58" si="19">SUM(E53:E57)</f>
        <v>1145</v>
      </c>
      <c r="F58" s="316">
        <f t="shared" si="19"/>
        <v>1441</v>
      </c>
      <c r="G58" s="316">
        <f t="shared" si="19"/>
        <v>15</v>
      </c>
      <c r="H58" s="316">
        <f t="shared" si="19"/>
        <v>19</v>
      </c>
      <c r="I58" s="317">
        <f>SUM(I53:I57)</f>
        <v>40348</v>
      </c>
      <c r="J58" s="316">
        <f>SUM(J53:J57)</f>
        <v>30183</v>
      </c>
      <c r="K58" s="316">
        <f>SUM(K53:K57)</f>
        <v>2528</v>
      </c>
      <c r="L58" s="316">
        <f t="shared" ref="L58:M58" si="20">SUM(L53:L57)</f>
        <v>7501</v>
      </c>
      <c r="M58" s="316">
        <f t="shared" si="20"/>
        <v>136</v>
      </c>
      <c r="N58" s="311">
        <f>SUM(N53:N57)</f>
        <v>40348</v>
      </c>
    </row>
    <row r="59" spans="1:14" x14ac:dyDescent="0.35">
      <c r="B59" s="3"/>
    </row>
    <row r="60" spans="1:14" x14ac:dyDescent="0.35">
      <c r="B60" s="3"/>
    </row>
    <row r="61" spans="1:14" x14ac:dyDescent="0.35">
      <c r="B61" s="3"/>
    </row>
    <row r="62" spans="1:14" x14ac:dyDescent="0.35">
      <c r="B62" s="3"/>
    </row>
    <row r="63" spans="1:14" x14ac:dyDescent="0.35">
      <c r="B63" s="3"/>
    </row>
    <row r="64" spans="1:14" x14ac:dyDescent="0.35">
      <c r="B64" s="3"/>
    </row>
    <row r="65" spans="2:2" x14ac:dyDescent="0.35">
      <c r="B65" s="3"/>
    </row>
    <row r="66" spans="2:2" x14ac:dyDescent="0.35">
      <c r="B66" s="3"/>
    </row>
    <row r="67" spans="2:2" x14ac:dyDescent="0.35">
      <c r="B67" s="3"/>
    </row>
    <row r="68" spans="2:2" x14ac:dyDescent="0.35">
      <c r="B68" s="3"/>
    </row>
    <row r="69" spans="2:2" x14ac:dyDescent="0.35">
      <c r="B69" s="3"/>
    </row>
    <row r="70" spans="2:2" x14ac:dyDescent="0.35">
      <c r="B70" s="3"/>
    </row>
    <row r="71" spans="2:2" x14ac:dyDescent="0.35">
      <c r="B71" s="3"/>
    </row>
    <row r="72" spans="2:2" x14ac:dyDescent="0.35">
      <c r="B72" s="3"/>
    </row>
    <row r="73" spans="2:2" x14ac:dyDescent="0.35">
      <c r="B73" s="3"/>
    </row>
    <row r="74" spans="2:2" x14ac:dyDescent="0.35">
      <c r="B74" s="3"/>
    </row>
    <row r="75" spans="2:2" x14ac:dyDescent="0.35">
      <c r="B75" s="3"/>
    </row>
    <row r="76" spans="2:2" x14ac:dyDescent="0.35">
      <c r="B76" s="3"/>
    </row>
    <row r="77" spans="2:2" x14ac:dyDescent="0.35">
      <c r="B77" s="3"/>
    </row>
    <row r="78" spans="2:2" x14ac:dyDescent="0.35">
      <c r="B78" s="3"/>
    </row>
    <row r="79" spans="2:2" x14ac:dyDescent="0.35">
      <c r="B79" s="3"/>
    </row>
    <row r="80" spans="2:2" x14ac:dyDescent="0.35">
      <c r="B80" s="3"/>
    </row>
    <row r="81" spans="2:2" x14ac:dyDescent="0.35">
      <c r="B81" s="3"/>
    </row>
    <row r="82" spans="2:2" x14ac:dyDescent="0.35">
      <c r="B82" s="3"/>
    </row>
    <row r="83" spans="2:2" x14ac:dyDescent="0.35">
      <c r="B83" s="3"/>
    </row>
    <row r="84" spans="2:2" x14ac:dyDescent="0.35">
      <c r="B84" s="3"/>
    </row>
    <row r="85" spans="2:2" x14ac:dyDescent="0.35">
      <c r="B85" s="3"/>
    </row>
    <row r="86" spans="2:2" x14ac:dyDescent="0.35">
      <c r="B86" s="3"/>
    </row>
    <row r="87" spans="2:2" x14ac:dyDescent="0.35">
      <c r="B87" s="3"/>
    </row>
    <row r="88" spans="2:2" x14ac:dyDescent="0.35">
      <c r="B88" s="3"/>
    </row>
    <row r="89" spans="2:2" x14ac:dyDescent="0.35">
      <c r="B89" s="3"/>
    </row>
    <row r="90" spans="2:2" x14ac:dyDescent="0.35">
      <c r="B90" s="3"/>
    </row>
    <row r="91" spans="2:2" x14ac:dyDescent="0.35">
      <c r="B91" s="3"/>
    </row>
    <row r="92" spans="2:2" x14ac:dyDescent="0.35">
      <c r="B92" s="3"/>
    </row>
    <row r="93" spans="2:2" x14ac:dyDescent="0.35">
      <c r="B93" s="3"/>
    </row>
    <row r="94" spans="2:2" x14ac:dyDescent="0.35">
      <c r="B94" s="3"/>
    </row>
    <row r="95" spans="2:2" x14ac:dyDescent="0.35">
      <c r="B95" s="3"/>
    </row>
    <row r="96" spans="2:2" x14ac:dyDescent="0.35">
      <c r="B96" s="3"/>
    </row>
    <row r="97" spans="2:2" x14ac:dyDescent="0.35">
      <c r="B97" s="3"/>
    </row>
    <row r="98" spans="2:2" x14ac:dyDescent="0.35">
      <c r="B98" s="3"/>
    </row>
    <row r="99" spans="2:2" x14ac:dyDescent="0.35">
      <c r="B99" s="3"/>
    </row>
    <row r="100" spans="2:2" x14ac:dyDescent="0.35">
      <c r="B100" s="3"/>
    </row>
    <row r="101" spans="2:2" x14ac:dyDescent="0.35">
      <c r="B101" s="3"/>
    </row>
    <row r="102" spans="2:2" x14ac:dyDescent="0.35">
      <c r="B102" s="3"/>
    </row>
    <row r="103" spans="2:2" x14ac:dyDescent="0.35">
      <c r="B103" s="3"/>
    </row>
    <row r="104" spans="2:2" x14ac:dyDescent="0.35">
      <c r="B104" s="3"/>
    </row>
  </sheetData>
  <customSheetViews>
    <customSheetView guid="{501209ED-4B79-4E52-B95E-748E5E77E24F}" showPageBreaks="1" printArea="1">
      <pane xSplit="2" ySplit="9" topLeftCell="C11" activePane="bottomRight" state="frozen"/>
      <selection pane="bottomRight" activeCell="C11" sqref="C11"/>
      <colBreaks count="1" manualBreakCount="1">
        <brk id="14" max="1048575" man="1"/>
      </colBreaks>
      <pageMargins left="0.59055118110236227" right="0.59055118110236227" top="0.59055118110236227" bottom="0.59055118110236227" header="0.31496062992125984" footer="0.31496062992125984"/>
      <printOptions horizontalCentered="1"/>
      <pageSetup paperSize="9" scale="56" orientation="portrait" r:id="rId1"/>
    </customSheetView>
  </customSheetViews>
  <mergeCells count="2">
    <mergeCell ref="J9:N9"/>
    <mergeCell ref="C9:I9"/>
  </mergeCells>
  <phoneticPr fontId="2"/>
  <conditionalFormatting sqref="C17:N21">
    <cfRule type="containsBlanks" dxfId="411" priority="2">
      <formula>LEN(TRIM(C17))=0</formula>
    </cfRule>
  </conditionalFormatting>
  <conditionalFormatting sqref="C11:N15">
    <cfRule type="containsBlanks" dxfId="410" priority="1">
      <formula>LEN(TRIM(C11))=0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6" orientation="portrait" r:id="rId2"/>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1"/>
  <sheetViews>
    <sheetView zoomScale="85" zoomScaleNormal="85" workbookViewId="0">
      <pane xSplit="2" ySplit="10" topLeftCell="C11" activePane="bottomRight" state="frozen"/>
      <selection pane="topRight" activeCell="C1" sqref="C1"/>
      <selection pane="bottomLeft" activeCell="A11" sqref="A11"/>
      <selection pane="bottomRight" activeCell="B1" sqref="B1"/>
    </sheetView>
  </sheetViews>
  <sheetFormatPr defaultColWidth="8.58203125" defaultRowHeight="14.5" x14ac:dyDescent="0.35"/>
  <cols>
    <col min="1" max="1" width="2.08203125" style="1" bestFit="1" customWidth="1"/>
    <col min="2" max="2" width="31" style="1" bestFit="1" customWidth="1"/>
    <col min="3" max="3" width="11.58203125" style="2" customWidth="1"/>
    <col min="4" max="4" width="7.58203125" style="2" customWidth="1"/>
    <col min="5" max="5" width="11.58203125" style="2" customWidth="1"/>
    <col min="6" max="6" width="7.58203125" style="2" customWidth="1"/>
    <col min="7" max="7" width="11.58203125" style="2" customWidth="1"/>
    <col min="8" max="8" width="7.58203125" style="2" customWidth="1"/>
    <col min="9" max="9" width="11.58203125" style="4" customWidth="1"/>
    <col min="10" max="10" width="7.58203125" style="4" customWidth="1"/>
    <col min="11" max="11" width="11.58203125" style="1" customWidth="1"/>
    <col min="12" max="12" width="7.58203125" style="1" customWidth="1"/>
    <col min="13" max="13" width="11.58203125" style="1" customWidth="1"/>
    <col min="14" max="14" width="7.58203125" style="1" customWidth="1"/>
    <col min="15" max="15" width="11.58203125" style="1" customWidth="1"/>
    <col min="16" max="16" width="7.58203125" style="1" customWidth="1"/>
    <col min="17" max="17" width="11.58203125" style="1" customWidth="1"/>
    <col min="18" max="18" width="7.58203125" style="1" customWidth="1"/>
    <col min="19" max="19" width="11.58203125" style="1" customWidth="1"/>
    <col min="20" max="20" width="7.58203125" style="1" customWidth="1"/>
    <col min="21" max="21" width="11.58203125" style="1" customWidth="1"/>
    <col min="22" max="22" width="7.58203125" style="1" customWidth="1"/>
    <col min="23" max="23" width="11.58203125" style="1" customWidth="1"/>
    <col min="24" max="24" width="7.58203125" style="1" customWidth="1"/>
    <col min="25" max="25" width="11.58203125" style="1" customWidth="1"/>
    <col min="26" max="26" width="7.58203125" style="1" customWidth="1"/>
    <col min="27" max="27" width="11.58203125" style="1" customWidth="1"/>
    <col min="28" max="28" width="7.58203125" style="1" customWidth="1"/>
    <col min="29" max="29" width="11.58203125" style="1" customWidth="1"/>
    <col min="30" max="30" width="7.58203125" style="1" customWidth="1"/>
    <col min="31" max="31" width="11.58203125" style="1" customWidth="1"/>
    <col min="32" max="32" width="7.58203125" style="1" customWidth="1"/>
    <col min="33" max="33" width="11.58203125" style="1" customWidth="1"/>
    <col min="34" max="34" width="7.58203125" style="1" customWidth="1"/>
    <col min="35" max="35" width="11.58203125" style="1" customWidth="1"/>
    <col min="36" max="36" width="7.58203125" style="1" customWidth="1"/>
    <col min="37" max="37" width="11.58203125" style="1" customWidth="1"/>
    <col min="38" max="38" width="7.58203125" style="1" customWidth="1"/>
    <col min="39" max="39" width="11.58203125" style="1" customWidth="1"/>
    <col min="40" max="40" width="7.58203125" style="1" customWidth="1"/>
    <col min="41" max="41" width="11.58203125" style="1" customWidth="1"/>
    <col min="42" max="42" width="7.58203125" style="1" customWidth="1"/>
    <col min="43" max="43" width="11.58203125" style="1" customWidth="1"/>
    <col min="44" max="44" width="7.58203125" style="1" customWidth="1"/>
    <col min="45" max="45" width="11.58203125" style="1" customWidth="1"/>
    <col min="46" max="46" width="7.58203125" style="1" customWidth="1"/>
    <col min="47" max="47" width="11.58203125" style="1" customWidth="1"/>
    <col min="48" max="48" width="7.58203125" style="1" customWidth="1"/>
    <col min="49" max="49" width="11.58203125" style="1" customWidth="1"/>
    <col min="50" max="50" width="7.58203125" style="1" customWidth="1"/>
    <col min="51" max="51" width="11.58203125" style="1" customWidth="1"/>
    <col min="52" max="52" width="7.58203125" style="1" customWidth="1"/>
    <col min="53" max="53" width="11.58203125" style="1" customWidth="1"/>
    <col min="54" max="54" width="7.58203125" style="1" customWidth="1"/>
    <col min="55" max="55" width="11" style="1" bestFit="1" customWidth="1"/>
    <col min="56" max="16384" width="8.58203125" style="1"/>
  </cols>
  <sheetData>
    <row r="1" spans="1:56" x14ac:dyDescent="0.35">
      <c r="A1" s="432" t="s">
        <v>438</v>
      </c>
      <c r="B1" s="432"/>
    </row>
    <row r="3" spans="1:56" s="253" customFormat="1" ht="20.149999999999999" customHeight="1" x14ac:dyDescent="0.55000000000000004">
      <c r="A3" s="252" t="s">
        <v>117</v>
      </c>
    </row>
    <row r="4" spans="1:56" s="253" customFormat="1" ht="20.149999999999999" customHeight="1" x14ac:dyDescent="0.55000000000000004">
      <c r="A4" s="252" t="s">
        <v>119</v>
      </c>
    </row>
    <row r="5" spans="1:56" s="253" customFormat="1" ht="14.5" customHeight="1" x14ac:dyDescent="0.55000000000000004">
      <c r="A5" s="46"/>
    </row>
    <row r="6" spans="1:56" s="253" customFormat="1" ht="14.5" customHeight="1" x14ac:dyDescent="0.55000000000000004">
      <c r="A6" s="30" t="s">
        <v>78</v>
      </c>
    </row>
    <row r="7" spans="1:56" s="253" customFormat="1" ht="14.5" customHeight="1" x14ac:dyDescent="0.55000000000000004">
      <c r="C7" s="46"/>
      <c r="D7" s="46"/>
      <c r="E7" s="46"/>
      <c r="F7" s="46"/>
      <c r="G7" s="46"/>
      <c r="H7" s="46"/>
      <c r="I7" s="252"/>
      <c r="J7" s="252"/>
    </row>
    <row r="8" spans="1:56" s="22" customFormat="1" ht="14.5" customHeight="1" x14ac:dyDescent="0.55000000000000004">
      <c r="A8" s="30" t="s">
        <v>435</v>
      </c>
      <c r="I8" s="423"/>
      <c r="J8" s="423"/>
      <c r="K8" s="327"/>
      <c r="L8" s="327"/>
      <c r="M8" s="327"/>
      <c r="N8" s="327"/>
      <c r="O8" s="327"/>
      <c r="P8" s="327"/>
      <c r="Q8" s="327"/>
      <c r="R8" s="327"/>
      <c r="S8" s="327"/>
      <c r="T8" s="327"/>
      <c r="U8" s="327"/>
      <c r="V8" s="327"/>
      <c r="W8" s="327"/>
      <c r="X8" s="327"/>
    </row>
    <row r="9" spans="1:56" s="46" customFormat="1" ht="20.149999999999999" customHeight="1" x14ac:dyDescent="0.55000000000000004">
      <c r="C9" s="672" t="s">
        <v>1128</v>
      </c>
      <c r="D9" s="672"/>
      <c r="E9" s="672" t="s">
        <v>1111</v>
      </c>
      <c r="F9" s="672"/>
      <c r="G9" s="672" t="s">
        <v>1085</v>
      </c>
      <c r="H9" s="672"/>
      <c r="I9" s="672" t="s">
        <v>1082</v>
      </c>
      <c r="J9" s="672"/>
      <c r="K9" s="672" t="s">
        <v>99</v>
      </c>
      <c r="L9" s="672"/>
      <c r="M9" s="672" t="s">
        <v>98</v>
      </c>
      <c r="N9" s="672"/>
      <c r="O9" s="672" t="s">
        <v>73</v>
      </c>
      <c r="P9" s="672"/>
      <c r="Q9" s="672" t="s">
        <v>77</v>
      </c>
      <c r="R9" s="672"/>
      <c r="S9" s="672" t="s">
        <v>97</v>
      </c>
      <c r="T9" s="673"/>
      <c r="U9" s="672" t="s">
        <v>96</v>
      </c>
      <c r="V9" s="672"/>
      <c r="W9" s="672" t="s">
        <v>95</v>
      </c>
      <c r="X9" s="672"/>
      <c r="Y9" s="672" t="s">
        <v>94</v>
      </c>
      <c r="Z9" s="672"/>
      <c r="AA9" s="672" t="s">
        <v>93</v>
      </c>
      <c r="AB9" s="672"/>
      <c r="AC9" s="672" t="s">
        <v>92</v>
      </c>
      <c r="AD9" s="672"/>
      <c r="AE9" s="672" t="s">
        <v>91</v>
      </c>
      <c r="AF9" s="672"/>
      <c r="AG9" s="672" t="s">
        <v>90</v>
      </c>
      <c r="AH9" s="672"/>
      <c r="AI9" s="672" t="s">
        <v>89</v>
      </c>
      <c r="AJ9" s="672"/>
      <c r="AK9" s="672" t="s">
        <v>88</v>
      </c>
      <c r="AL9" s="672"/>
      <c r="AM9" s="672" t="s">
        <v>87</v>
      </c>
      <c r="AN9" s="672"/>
      <c r="AO9" s="672" t="s">
        <v>86</v>
      </c>
      <c r="AP9" s="673"/>
      <c r="AQ9" s="672" t="s">
        <v>85</v>
      </c>
      <c r="AR9" s="672"/>
      <c r="AS9" s="672" t="s">
        <v>84</v>
      </c>
      <c r="AT9" s="672"/>
      <c r="AU9" s="672" t="s">
        <v>83</v>
      </c>
      <c r="AV9" s="672"/>
      <c r="AW9" s="672" t="s">
        <v>82</v>
      </c>
      <c r="AX9" s="672"/>
      <c r="AY9" s="672" t="s">
        <v>81</v>
      </c>
      <c r="AZ9" s="672"/>
      <c r="BA9" s="672" t="s">
        <v>80</v>
      </c>
      <c r="BB9" s="672"/>
      <c r="BC9" s="674" t="s">
        <v>79</v>
      </c>
      <c r="BD9" s="672"/>
    </row>
    <row r="10" spans="1:56" s="46" customFormat="1" ht="20.149999999999999" customHeight="1" x14ac:dyDescent="0.55000000000000004">
      <c r="C10" s="365" t="s">
        <v>434</v>
      </c>
      <c r="D10" s="365" t="s">
        <v>433</v>
      </c>
      <c r="E10" s="365" t="s">
        <v>434</v>
      </c>
      <c r="F10" s="365" t="s">
        <v>433</v>
      </c>
      <c r="G10" s="365" t="s">
        <v>434</v>
      </c>
      <c r="H10" s="365" t="s">
        <v>433</v>
      </c>
      <c r="I10" s="365" t="s">
        <v>1083</v>
      </c>
      <c r="J10" s="365" t="s">
        <v>1084</v>
      </c>
      <c r="K10" s="365" t="s">
        <v>434</v>
      </c>
      <c r="L10" s="365" t="s">
        <v>433</v>
      </c>
      <c r="M10" s="365" t="s">
        <v>434</v>
      </c>
      <c r="N10" s="365" t="s">
        <v>433</v>
      </c>
      <c r="O10" s="365" t="s">
        <v>434</v>
      </c>
      <c r="P10" s="365" t="s">
        <v>433</v>
      </c>
      <c r="Q10" s="365" t="s">
        <v>434</v>
      </c>
      <c r="R10" s="365" t="s">
        <v>433</v>
      </c>
      <c r="S10" s="365" t="s">
        <v>434</v>
      </c>
      <c r="T10" s="426" t="s">
        <v>433</v>
      </c>
      <c r="U10" s="365" t="s">
        <v>434</v>
      </c>
      <c r="V10" s="365" t="s">
        <v>433</v>
      </c>
      <c r="W10" s="365" t="s">
        <v>434</v>
      </c>
      <c r="X10" s="365" t="s">
        <v>433</v>
      </c>
      <c r="Y10" s="365" t="s">
        <v>434</v>
      </c>
      <c r="Z10" s="365" t="s">
        <v>433</v>
      </c>
      <c r="AA10" s="365" t="s">
        <v>434</v>
      </c>
      <c r="AB10" s="365" t="s">
        <v>433</v>
      </c>
      <c r="AC10" s="365" t="s">
        <v>434</v>
      </c>
      <c r="AD10" s="365" t="s">
        <v>433</v>
      </c>
      <c r="AE10" s="365" t="s">
        <v>434</v>
      </c>
      <c r="AF10" s="365" t="s">
        <v>433</v>
      </c>
      <c r="AG10" s="365" t="s">
        <v>434</v>
      </c>
      <c r="AH10" s="365" t="s">
        <v>433</v>
      </c>
      <c r="AI10" s="365" t="s">
        <v>434</v>
      </c>
      <c r="AJ10" s="365" t="s">
        <v>433</v>
      </c>
      <c r="AK10" s="365" t="s">
        <v>434</v>
      </c>
      <c r="AL10" s="365" t="s">
        <v>433</v>
      </c>
      <c r="AM10" s="365" t="s">
        <v>434</v>
      </c>
      <c r="AN10" s="365" t="s">
        <v>433</v>
      </c>
      <c r="AO10" s="365" t="s">
        <v>434</v>
      </c>
      <c r="AP10" s="426" t="s">
        <v>433</v>
      </c>
      <c r="AQ10" s="365" t="s">
        <v>434</v>
      </c>
      <c r="AR10" s="365" t="s">
        <v>433</v>
      </c>
      <c r="AS10" s="365" t="s">
        <v>434</v>
      </c>
      <c r="AT10" s="365" t="s">
        <v>433</v>
      </c>
      <c r="AU10" s="365" t="s">
        <v>434</v>
      </c>
      <c r="AV10" s="365" t="s">
        <v>433</v>
      </c>
      <c r="AW10" s="365" t="s">
        <v>434</v>
      </c>
      <c r="AX10" s="365" t="s">
        <v>433</v>
      </c>
      <c r="AY10" s="365" t="s">
        <v>434</v>
      </c>
      <c r="AZ10" s="365" t="s">
        <v>433</v>
      </c>
      <c r="BA10" s="365" t="s">
        <v>434</v>
      </c>
      <c r="BB10" s="365" t="s">
        <v>433</v>
      </c>
      <c r="BC10" s="427" t="s">
        <v>434</v>
      </c>
      <c r="BD10" s="365" t="s">
        <v>433</v>
      </c>
    </row>
    <row r="11" spans="1:56" s="9" customFormat="1" ht="20.149999999999999" customHeight="1" x14ac:dyDescent="0.55000000000000004">
      <c r="A11" s="328">
        <v>1</v>
      </c>
      <c r="B11" s="329" t="s">
        <v>100</v>
      </c>
      <c r="C11" s="330">
        <v>876813</v>
      </c>
      <c r="D11" s="428">
        <f>ROUND(C11/C$28*100,1)</f>
        <v>5.0999999999999996</v>
      </c>
      <c r="E11" s="330">
        <v>923158</v>
      </c>
      <c r="F11" s="428">
        <f>ROUND(E11/E$28*100,1)</f>
        <v>5.6</v>
      </c>
      <c r="G11" s="330">
        <v>975336</v>
      </c>
      <c r="H11" s="428">
        <f>ROUND(G11/G$28*100,1)</f>
        <v>6.4</v>
      </c>
      <c r="I11" s="330">
        <v>1136458</v>
      </c>
      <c r="J11" s="428">
        <f>ROUND(I11/I$28*100,1)</f>
        <v>7.4</v>
      </c>
      <c r="K11" s="330">
        <v>1395378</v>
      </c>
      <c r="L11" s="428">
        <f>ROUND(K11/K$28*100,1)</f>
        <v>6.9</v>
      </c>
      <c r="M11" s="330">
        <v>1364970</v>
      </c>
      <c r="N11" s="428">
        <f>ROUND(M11/M$28*100,1)</f>
        <v>7</v>
      </c>
      <c r="O11" s="330">
        <v>1223171</v>
      </c>
      <c r="P11" s="428">
        <f>ROUND(O11/O$28*100,1)</f>
        <v>6.4</v>
      </c>
      <c r="Q11" s="330">
        <v>1176488</v>
      </c>
      <c r="R11" s="428">
        <f>ROUND(Q11/Q$28*100,1)</f>
        <v>6</v>
      </c>
      <c r="S11" s="330">
        <v>932983</v>
      </c>
      <c r="T11" s="428">
        <f>ROUND(S11/S$28*100,1)</f>
        <v>4.3</v>
      </c>
      <c r="U11" s="330">
        <v>952225</v>
      </c>
      <c r="V11" s="428">
        <f>ROUND(U11/U$28*100,1)</f>
        <v>4.0999999999999996</v>
      </c>
      <c r="W11" s="330">
        <v>705828</v>
      </c>
      <c r="X11" s="428">
        <f>ROUND(W11/W$28*100,1)</f>
        <v>3.2</v>
      </c>
      <c r="Y11" s="330">
        <v>631009</v>
      </c>
      <c r="Z11" s="428">
        <f>ROUND(Y11/Y$28*100,1)</f>
        <v>3</v>
      </c>
      <c r="AA11" s="330">
        <v>724093</v>
      </c>
      <c r="AB11" s="428">
        <f>ROUND(AA11/AA$28*100,1)</f>
        <v>3.4</v>
      </c>
      <c r="AC11" s="330">
        <v>635288</v>
      </c>
      <c r="AD11" s="428">
        <f>ROUND(AC11/AC$28*100,1)</f>
        <v>3.4</v>
      </c>
      <c r="AE11" s="330">
        <v>764768</v>
      </c>
      <c r="AF11" s="428">
        <f>ROUND(AE11/AE$28*100,1)</f>
        <v>4</v>
      </c>
      <c r="AG11" s="330">
        <v>872952</v>
      </c>
      <c r="AH11" s="428">
        <f>ROUND(AG11/AG$28*100,1)</f>
        <v>3.5</v>
      </c>
      <c r="AI11" s="330">
        <v>847028</v>
      </c>
      <c r="AJ11" s="428">
        <f>ROUND(AI11/AI$28*100,1)</f>
        <v>3.4</v>
      </c>
      <c r="AK11" s="330">
        <v>894811</v>
      </c>
      <c r="AL11" s="428">
        <f>ROUND(AK11/AK$28*100,1)</f>
        <v>3.3</v>
      </c>
      <c r="AM11" s="330">
        <v>677550</v>
      </c>
      <c r="AN11" s="428">
        <f>ROUND(AM11/AM$28*100,1)</f>
        <v>3.3</v>
      </c>
      <c r="AO11" s="330">
        <v>1003560</v>
      </c>
      <c r="AP11" s="428">
        <f>ROUND(AO11/AO$28*100,1)</f>
        <v>5.9</v>
      </c>
      <c r="AQ11" s="330">
        <v>3121210</v>
      </c>
      <c r="AR11" s="428">
        <f>ROUND(AQ11/AQ$28*100,1)</f>
        <v>14.8</v>
      </c>
      <c r="AS11" s="330">
        <v>3469180</v>
      </c>
      <c r="AT11" s="428">
        <f>ROUND(AS11/AS$28*100,1)</f>
        <v>9.1</v>
      </c>
      <c r="AU11" s="330">
        <v>1158835</v>
      </c>
      <c r="AV11" s="428">
        <f>ROUND(AU11/AU$28*100,1)</f>
        <v>4.5999999999999996</v>
      </c>
      <c r="AW11" s="330">
        <v>933043</v>
      </c>
      <c r="AX11" s="428">
        <f>ROUND(AW11/AW$28*100,1)</f>
        <v>5.3</v>
      </c>
      <c r="AY11" s="330">
        <v>751136</v>
      </c>
      <c r="AZ11" s="428">
        <f>ROUND(AY11/AY$28*100,1)</f>
        <v>6.5</v>
      </c>
      <c r="BA11" s="330">
        <v>243651</v>
      </c>
      <c r="BB11" s="428">
        <f>ROUND(BA11/BA$28*100,1)</f>
        <v>6.3</v>
      </c>
      <c r="BC11" s="331">
        <v>58594</v>
      </c>
      <c r="BD11" s="428">
        <f>ROUND(BC11/BC$28*100,1)</f>
        <v>4.3</v>
      </c>
    </row>
    <row r="12" spans="1:56" s="9" customFormat="1" ht="20.149999999999999" customHeight="1" x14ac:dyDescent="0.55000000000000004">
      <c r="A12" s="332">
        <v>2</v>
      </c>
      <c r="B12" s="333" t="s">
        <v>101</v>
      </c>
      <c r="C12" s="334">
        <f>SUM(C13:C21)</f>
        <v>4537881</v>
      </c>
      <c r="D12" s="429">
        <f t="shared" ref="D12:D27" si="0">ROUND(C12/C$28*100,1)</f>
        <v>26.4</v>
      </c>
      <c r="E12" s="334">
        <f>SUM(E13:E21)</f>
        <v>4463323</v>
      </c>
      <c r="F12" s="429">
        <f t="shared" ref="F12:F27" si="1">ROUND(E12/E$28*100,1)</f>
        <v>27.2</v>
      </c>
      <c r="G12" s="334">
        <f>SUM(G13:G21)</f>
        <v>4023734</v>
      </c>
      <c r="H12" s="429">
        <f t="shared" ref="H12:AN27" si="2">ROUND(G12/G$28*100,1)</f>
        <v>26.2</v>
      </c>
      <c r="I12" s="334">
        <f>SUM(I13:I21)</f>
        <v>3912510</v>
      </c>
      <c r="J12" s="429">
        <f t="shared" ref="J12:J27" si="3">ROUND(I12/I$28*100,1)</f>
        <v>25.4</v>
      </c>
      <c r="K12" s="334">
        <f>SUM(K13:K21)</f>
        <v>5074896</v>
      </c>
      <c r="L12" s="429">
        <f t="shared" si="2"/>
        <v>25.2</v>
      </c>
      <c r="M12" s="334">
        <f>SUM(M13:M21)</f>
        <v>5125001</v>
      </c>
      <c r="N12" s="429">
        <f t="shared" si="2"/>
        <v>26.4</v>
      </c>
      <c r="O12" s="334">
        <f>SUM(O13:O21)</f>
        <v>4676725</v>
      </c>
      <c r="P12" s="429">
        <f t="shared" si="2"/>
        <v>24.6</v>
      </c>
      <c r="Q12" s="334">
        <f>SUM(Q13:Q21)</f>
        <v>5010602</v>
      </c>
      <c r="R12" s="429">
        <f t="shared" si="2"/>
        <v>25.6</v>
      </c>
      <c r="S12" s="334">
        <f>SUM(S13:S21)</f>
        <v>5499301</v>
      </c>
      <c r="T12" s="429">
        <f t="shared" si="2"/>
        <v>25.4</v>
      </c>
      <c r="U12" s="334">
        <f>SUM(U13:U21)</f>
        <v>6322325</v>
      </c>
      <c r="V12" s="429">
        <f t="shared" si="2"/>
        <v>26.9</v>
      </c>
      <c r="W12" s="334">
        <f>SUM(W13:W21)</f>
        <v>5586237</v>
      </c>
      <c r="X12" s="429">
        <f t="shared" si="2"/>
        <v>25</v>
      </c>
      <c r="Y12" s="334">
        <f>SUM(Y13:Y21)</f>
        <v>5558234</v>
      </c>
      <c r="Z12" s="429">
        <f t="shared" si="2"/>
        <v>26.1</v>
      </c>
      <c r="AA12" s="334">
        <f>SUM(AA13:AA21)</f>
        <v>5968135</v>
      </c>
      <c r="AB12" s="429">
        <f t="shared" si="2"/>
        <v>28.3</v>
      </c>
      <c r="AC12" s="334">
        <f>SUM(AC13:AC21)</f>
        <v>4732771</v>
      </c>
      <c r="AD12" s="429">
        <f t="shared" si="2"/>
        <v>25.2</v>
      </c>
      <c r="AE12" s="334">
        <f>SUM(AE13:AE21)</f>
        <v>6709369</v>
      </c>
      <c r="AF12" s="429">
        <f t="shared" si="2"/>
        <v>35</v>
      </c>
      <c r="AG12" s="334">
        <f>SUM(AG13:AG21)</f>
        <v>7727458</v>
      </c>
      <c r="AH12" s="429">
        <f t="shared" si="2"/>
        <v>31.3</v>
      </c>
      <c r="AI12" s="334">
        <f>SUM(AI13:AI21)</f>
        <v>7930438</v>
      </c>
      <c r="AJ12" s="429">
        <f t="shared" si="2"/>
        <v>31.4</v>
      </c>
      <c r="AK12" s="334">
        <f>SUM(AK13:AK21)</f>
        <v>9014225</v>
      </c>
      <c r="AL12" s="429">
        <f t="shared" si="2"/>
        <v>33.4</v>
      </c>
      <c r="AM12" s="334">
        <f>SUM(AM13:AM21)</f>
        <v>5692474</v>
      </c>
      <c r="AN12" s="429">
        <f t="shared" si="2"/>
        <v>27.4</v>
      </c>
      <c r="AO12" s="334">
        <f>SUM(AO13:AO21)</f>
        <v>4420154</v>
      </c>
      <c r="AP12" s="429">
        <f t="shared" ref="AP12:AP27" si="4">ROUND(AO12/AO$28*100,1)</f>
        <v>25.9</v>
      </c>
      <c r="AQ12" s="334">
        <f>SUM(AQ13:AQ21)</f>
        <v>6397823</v>
      </c>
      <c r="AR12" s="429">
        <f t="shared" ref="AR12:AR27" si="5">ROUND(AQ12/AQ$28*100,1)</f>
        <v>30.3</v>
      </c>
      <c r="AS12" s="334">
        <f>SUM(AS13:AS21)</f>
        <v>9959859</v>
      </c>
      <c r="AT12" s="429">
        <f t="shared" ref="AT12:AT27" si="6">ROUND(AS12/AS$28*100,1)</f>
        <v>26.3</v>
      </c>
      <c r="AU12" s="334">
        <f>SUM(AU13:AU21)</f>
        <v>7036110</v>
      </c>
      <c r="AV12" s="429">
        <f t="shared" ref="AV12:AV27" si="7">ROUND(AU12/AU$28*100,1)</f>
        <v>28.1</v>
      </c>
      <c r="AW12" s="334">
        <f>SUM(AW13:AW21)</f>
        <v>5921168</v>
      </c>
      <c r="AX12" s="429">
        <f t="shared" ref="AX12:AX27" si="8">ROUND(AW12/AW$28*100,1)</f>
        <v>33.4</v>
      </c>
      <c r="AY12" s="334">
        <f>SUM(AY13:AY21)</f>
        <v>2964104</v>
      </c>
      <c r="AZ12" s="429">
        <f t="shared" ref="AZ12:AZ27" si="9">ROUND(AY12/AY$28*100,1)</f>
        <v>25.8</v>
      </c>
      <c r="BA12" s="334">
        <f>SUM(BA13:BA21)</f>
        <v>1526235</v>
      </c>
      <c r="BB12" s="429">
        <f t="shared" ref="BB12:BB27" si="10">ROUND(BA12/BA$28*100,1)</f>
        <v>39.5</v>
      </c>
      <c r="BC12" s="334">
        <f>SUM(BC13:BC21)</f>
        <v>507084</v>
      </c>
      <c r="BD12" s="429">
        <f t="shared" ref="BD12:BD27" si="11">ROUND(BC12/BC$28*100,1)</f>
        <v>37.6</v>
      </c>
    </row>
    <row r="13" spans="1:56" s="9" customFormat="1" ht="20.149999999999999" customHeight="1" x14ac:dyDescent="0.55000000000000004">
      <c r="A13" s="335"/>
      <c r="B13" s="345" t="s">
        <v>108</v>
      </c>
      <c r="C13" s="334">
        <v>416480</v>
      </c>
      <c r="D13" s="429">
        <f t="shared" si="0"/>
        <v>2.4</v>
      </c>
      <c r="E13" s="334">
        <v>437503</v>
      </c>
      <c r="F13" s="429">
        <f t="shared" si="1"/>
        <v>2.7</v>
      </c>
      <c r="G13" s="334">
        <v>517666</v>
      </c>
      <c r="H13" s="429">
        <f t="shared" si="2"/>
        <v>3.4</v>
      </c>
      <c r="I13" s="334">
        <v>820032</v>
      </c>
      <c r="J13" s="429">
        <f t="shared" si="3"/>
        <v>5.3</v>
      </c>
      <c r="K13" s="334">
        <v>732049</v>
      </c>
      <c r="L13" s="429">
        <f t="shared" si="2"/>
        <v>3.6</v>
      </c>
      <c r="M13" s="334">
        <v>965791</v>
      </c>
      <c r="N13" s="429">
        <f t="shared" si="2"/>
        <v>5</v>
      </c>
      <c r="O13" s="334">
        <v>843617</v>
      </c>
      <c r="P13" s="429">
        <f t="shared" si="2"/>
        <v>4.4000000000000004</v>
      </c>
      <c r="Q13" s="334">
        <v>829485</v>
      </c>
      <c r="R13" s="429">
        <f t="shared" si="2"/>
        <v>4.2</v>
      </c>
      <c r="S13" s="334">
        <v>737402</v>
      </c>
      <c r="T13" s="429">
        <f t="shared" si="2"/>
        <v>3.4</v>
      </c>
      <c r="U13" s="334">
        <v>816519</v>
      </c>
      <c r="V13" s="429">
        <f t="shared" si="2"/>
        <v>3.5</v>
      </c>
      <c r="W13" s="334">
        <v>876315</v>
      </c>
      <c r="X13" s="429">
        <f t="shared" si="2"/>
        <v>3.9</v>
      </c>
      <c r="Y13" s="334">
        <v>883206</v>
      </c>
      <c r="Z13" s="429">
        <f t="shared" si="2"/>
        <v>4.2</v>
      </c>
      <c r="AA13" s="334">
        <v>946280</v>
      </c>
      <c r="AB13" s="429">
        <f t="shared" si="2"/>
        <v>4.5</v>
      </c>
      <c r="AC13" s="334">
        <v>860270</v>
      </c>
      <c r="AD13" s="429">
        <f t="shared" si="2"/>
        <v>4.5999999999999996</v>
      </c>
      <c r="AE13" s="334">
        <v>1008156</v>
      </c>
      <c r="AF13" s="429">
        <f t="shared" si="2"/>
        <v>5.3</v>
      </c>
      <c r="AG13" s="334">
        <v>845421</v>
      </c>
      <c r="AH13" s="429">
        <f t="shared" si="2"/>
        <v>3.4</v>
      </c>
      <c r="AI13" s="334">
        <v>833352</v>
      </c>
      <c r="AJ13" s="429">
        <f t="shared" si="2"/>
        <v>3.3</v>
      </c>
      <c r="AK13" s="334">
        <v>1006782</v>
      </c>
      <c r="AL13" s="429">
        <f t="shared" si="2"/>
        <v>3.7</v>
      </c>
      <c r="AM13" s="334">
        <v>647682</v>
      </c>
      <c r="AN13" s="429">
        <f t="shared" si="2"/>
        <v>3.1</v>
      </c>
      <c r="AO13" s="334">
        <v>1152355</v>
      </c>
      <c r="AP13" s="429">
        <f t="shared" si="4"/>
        <v>6.8</v>
      </c>
      <c r="AQ13" s="334">
        <v>971345</v>
      </c>
      <c r="AR13" s="429">
        <f t="shared" si="5"/>
        <v>4.5999999999999996</v>
      </c>
      <c r="AS13" s="334">
        <v>1417053</v>
      </c>
      <c r="AT13" s="429">
        <f t="shared" si="6"/>
        <v>3.7</v>
      </c>
      <c r="AU13" s="334">
        <v>1162516</v>
      </c>
      <c r="AV13" s="429">
        <f t="shared" si="7"/>
        <v>4.5999999999999996</v>
      </c>
      <c r="AW13" s="334">
        <v>851154</v>
      </c>
      <c r="AX13" s="429">
        <f t="shared" si="8"/>
        <v>4.8</v>
      </c>
      <c r="AY13" s="334">
        <v>694453</v>
      </c>
      <c r="AZ13" s="429">
        <f t="shared" si="9"/>
        <v>6</v>
      </c>
      <c r="BA13" s="334">
        <v>218602</v>
      </c>
      <c r="BB13" s="429">
        <f t="shared" si="10"/>
        <v>5.7</v>
      </c>
      <c r="BC13" s="38">
        <v>93630</v>
      </c>
      <c r="BD13" s="429">
        <f t="shared" si="11"/>
        <v>6.9</v>
      </c>
    </row>
    <row r="14" spans="1:56" s="22" customFormat="1" ht="20.149999999999999" customHeight="1" x14ac:dyDescent="0.55000000000000004">
      <c r="A14" s="336"/>
      <c r="B14" s="345" t="s">
        <v>109</v>
      </c>
      <c r="C14" s="334">
        <v>12523</v>
      </c>
      <c r="D14" s="429">
        <f t="shared" si="0"/>
        <v>0.1</v>
      </c>
      <c r="E14" s="334">
        <v>7153</v>
      </c>
      <c r="F14" s="429">
        <f t="shared" si="1"/>
        <v>0</v>
      </c>
      <c r="G14" s="334">
        <v>8615</v>
      </c>
      <c r="H14" s="429">
        <f t="shared" si="2"/>
        <v>0.1</v>
      </c>
      <c r="I14" s="334">
        <v>6570</v>
      </c>
      <c r="J14" s="429">
        <f t="shared" si="3"/>
        <v>0</v>
      </c>
      <c r="K14" s="334">
        <v>16423</v>
      </c>
      <c r="L14" s="429">
        <f t="shared" si="2"/>
        <v>0.1</v>
      </c>
      <c r="M14" s="334">
        <v>9806</v>
      </c>
      <c r="N14" s="429">
        <f t="shared" si="2"/>
        <v>0.1</v>
      </c>
      <c r="O14" s="334">
        <v>6836</v>
      </c>
      <c r="P14" s="429">
        <f t="shared" si="2"/>
        <v>0</v>
      </c>
      <c r="Q14" s="334">
        <v>7085</v>
      </c>
      <c r="R14" s="429">
        <f t="shared" si="2"/>
        <v>0</v>
      </c>
      <c r="S14" s="334">
        <v>3413</v>
      </c>
      <c r="T14" s="429">
        <f t="shared" si="2"/>
        <v>0</v>
      </c>
      <c r="U14" s="334">
        <v>3384</v>
      </c>
      <c r="V14" s="429">
        <f t="shared" si="2"/>
        <v>0</v>
      </c>
      <c r="W14" s="334">
        <v>1717</v>
      </c>
      <c r="X14" s="429">
        <f t="shared" si="2"/>
        <v>0</v>
      </c>
      <c r="Y14" s="334">
        <v>1605</v>
      </c>
      <c r="Z14" s="429">
        <f t="shared" si="2"/>
        <v>0</v>
      </c>
      <c r="AA14" s="334">
        <v>2193</v>
      </c>
      <c r="AB14" s="429">
        <f t="shared" si="2"/>
        <v>0</v>
      </c>
      <c r="AC14" s="334">
        <v>4429</v>
      </c>
      <c r="AD14" s="429">
        <f t="shared" si="2"/>
        <v>0</v>
      </c>
      <c r="AE14" s="334">
        <v>4845</v>
      </c>
      <c r="AF14" s="429">
        <f t="shared" si="2"/>
        <v>0</v>
      </c>
      <c r="AG14" s="334">
        <v>1343</v>
      </c>
      <c r="AH14" s="429">
        <f t="shared" si="2"/>
        <v>0</v>
      </c>
      <c r="AI14" s="334">
        <v>4213</v>
      </c>
      <c r="AJ14" s="429">
        <f t="shared" si="2"/>
        <v>0</v>
      </c>
      <c r="AK14" s="334">
        <v>2748</v>
      </c>
      <c r="AL14" s="429">
        <f t="shared" si="2"/>
        <v>0</v>
      </c>
      <c r="AM14" s="334">
        <v>2011</v>
      </c>
      <c r="AN14" s="429">
        <f t="shared" si="2"/>
        <v>0</v>
      </c>
      <c r="AO14" s="334">
        <v>52578</v>
      </c>
      <c r="AP14" s="429">
        <f t="shared" si="4"/>
        <v>0.3</v>
      </c>
      <c r="AQ14" s="334">
        <v>37520</v>
      </c>
      <c r="AR14" s="429">
        <f t="shared" si="5"/>
        <v>0.2</v>
      </c>
      <c r="AS14" s="334">
        <v>34026</v>
      </c>
      <c r="AT14" s="429">
        <f t="shared" si="6"/>
        <v>0.1</v>
      </c>
      <c r="AU14" s="334">
        <v>24517</v>
      </c>
      <c r="AV14" s="429">
        <f t="shared" si="7"/>
        <v>0.1</v>
      </c>
      <c r="AW14" s="334">
        <v>26850</v>
      </c>
      <c r="AX14" s="429">
        <f t="shared" si="8"/>
        <v>0.2</v>
      </c>
      <c r="AY14" s="334">
        <v>6984</v>
      </c>
      <c r="AZ14" s="429">
        <f t="shared" si="9"/>
        <v>0.1</v>
      </c>
      <c r="BA14" s="334">
        <v>18108</v>
      </c>
      <c r="BB14" s="429">
        <f t="shared" si="10"/>
        <v>0.5</v>
      </c>
      <c r="BC14" s="38">
        <v>5051</v>
      </c>
      <c r="BD14" s="429">
        <f t="shared" si="11"/>
        <v>0.4</v>
      </c>
    </row>
    <row r="15" spans="1:56" s="255" customFormat="1" ht="20.149999999999999" customHeight="1" x14ac:dyDescent="0.55000000000000004">
      <c r="A15" s="336"/>
      <c r="B15" s="345" t="s">
        <v>110</v>
      </c>
      <c r="C15" s="334">
        <v>1772145</v>
      </c>
      <c r="D15" s="429">
        <f t="shared" si="0"/>
        <v>10.3</v>
      </c>
      <c r="E15" s="334">
        <v>1816691</v>
      </c>
      <c r="F15" s="429">
        <f t="shared" si="1"/>
        <v>11.1</v>
      </c>
      <c r="G15" s="334">
        <v>1197816</v>
      </c>
      <c r="H15" s="429">
        <f t="shared" si="2"/>
        <v>7.8</v>
      </c>
      <c r="I15" s="334">
        <v>1163437</v>
      </c>
      <c r="J15" s="429">
        <f t="shared" si="3"/>
        <v>7.5</v>
      </c>
      <c r="K15" s="334">
        <v>1814362</v>
      </c>
      <c r="L15" s="429">
        <f t="shared" si="2"/>
        <v>9</v>
      </c>
      <c r="M15" s="334">
        <v>1711292</v>
      </c>
      <c r="N15" s="429">
        <f t="shared" si="2"/>
        <v>8.8000000000000007</v>
      </c>
      <c r="O15" s="334">
        <v>1296219</v>
      </c>
      <c r="P15" s="429">
        <f t="shared" si="2"/>
        <v>6.8</v>
      </c>
      <c r="Q15" s="334">
        <v>1665713</v>
      </c>
      <c r="R15" s="429">
        <f t="shared" si="2"/>
        <v>8.5</v>
      </c>
      <c r="S15" s="334">
        <v>1683232</v>
      </c>
      <c r="T15" s="429">
        <f t="shared" si="2"/>
        <v>7.8</v>
      </c>
      <c r="U15" s="334">
        <v>1791116</v>
      </c>
      <c r="V15" s="429">
        <f t="shared" si="2"/>
        <v>7.6</v>
      </c>
      <c r="W15" s="334">
        <v>1537743</v>
      </c>
      <c r="X15" s="429">
        <f t="shared" si="2"/>
        <v>6.9</v>
      </c>
      <c r="Y15" s="334">
        <v>1429881</v>
      </c>
      <c r="Z15" s="429">
        <f t="shared" si="2"/>
        <v>6.7</v>
      </c>
      <c r="AA15" s="334">
        <v>1545991</v>
      </c>
      <c r="AB15" s="429">
        <f t="shared" si="2"/>
        <v>7.3</v>
      </c>
      <c r="AC15" s="334">
        <v>1363050</v>
      </c>
      <c r="AD15" s="429">
        <f t="shared" si="2"/>
        <v>7.3</v>
      </c>
      <c r="AE15" s="334">
        <v>1349136</v>
      </c>
      <c r="AF15" s="429">
        <f t="shared" si="2"/>
        <v>7</v>
      </c>
      <c r="AG15" s="334">
        <v>1466690</v>
      </c>
      <c r="AH15" s="429">
        <f t="shared" si="2"/>
        <v>5.9</v>
      </c>
      <c r="AI15" s="334">
        <v>1561065</v>
      </c>
      <c r="AJ15" s="429">
        <f t="shared" si="2"/>
        <v>6.2</v>
      </c>
      <c r="AK15" s="334">
        <v>2451075</v>
      </c>
      <c r="AL15" s="429">
        <f t="shared" si="2"/>
        <v>9.1</v>
      </c>
      <c r="AM15" s="334">
        <v>1486753</v>
      </c>
      <c r="AN15" s="429">
        <f t="shared" si="2"/>
        <v>7.1</v>
      </c>
      <c r="AO15" s="334">
        <v>1111057</v>
      </c>
      <c r="AP15" s="429">
        <f t="shared" si="4"/>
        <v>6.5</v>
      </c>
      <c r="AQ15" s="334">
        <v>1248344</v>
      </c>
      <c r="AR15" s="429">
        <f t="shared" si="5"/>
        <v>5.9</v>
      </c>
      <c r="AS15" s="334">
        <v>898280</v>
      </c>
      <c r="AT15" s="429">
        <f t="shared" si="6"/>
        <v>2.4</v>
      </c>
      <c r="AU15" s="334">
        <v>616201</v>
      </c>
      <c r="AV15" s="429">
        <f t="shared" si="7"/>
        <v>2.5</v>
      </c>
      <c r="AW15" s="334">
        <v>532726</v>
      </c>
      <c r="AX15" s="429">
        <f t="shared" si="8"/>
        <v>3</v>
      </c>
      <c r="AY15" s="334">
        <v>185045</v>
      </c>
      <c r="AZ15" s="429">
        <f t="shared" si="9"/>
        <v>1.6</v>
      </c>
      <c r="BA15" s="334">
        <v>86955</v>
      </c>
      <c r="BB15" s="429">
        <f t="shared" si="10"/>
        <v>2.2000000000000002</v>
      </c>
      <c r="BC15" s="38">
        <v>18835</v>
      </c>
      <c r="BD15" s="429">
        <f t="shared" si="11"/>
        <v>1.4</v>
      </c>
    </row>
    <row r="16" spans="1:56" s="255" customFormat="1" ht="20.149999999999999" customHeight="1" x14ac:dyDescent="0.55000000000000004">
      <c r="A16" s="336"/>
      <c r="B16" s="345" t="s">
        <v>111</v>
      </c>
      <c r="C16" s="334">
        <v>135686</v>
      </c>
      <c r="D16" s="429">
        <f t="shared" si="0"/>
        <v>0.8</v>
      </c>
      <c r="E16" s="334">
        <v>145636</v>
      </c>
      <c r="F16" s="429">
        <f t="shared" si="1"/>
        <v>0.9</v>
      </c>
      <c r="G16" s="334">
        <v>67953</v>
      </c>
      <c r="H16" s="429">
        <f t="shared" si="2"/>
        <v>0.4</v>
      </c>
      <c r="I16" s="334">
        <v>50351</v>
      </c>
      <c r="J16" s="429">
        <f t="shared" si="3"/>
        <v>0.3</v>
      </c>
      <c r="K16" s="334">
        <v>120072</v>
      </c>
      <c r="L16" s="429">
        <f t="shared" si="2"/>
        <v>0.6</v>
      </c>
      <c r="M16" s="334">
        <v>115271</v>
      </c>
      <c r="N16" s="429">
        <f t="shared" si="2"/>
        <v>0.6</v>
      </c>
      <c r="O16" s="334">
        <v>225007</v>
      </c>
      <c r="P16" s="429">
        <f t="shared" si="2"/>
        <v>1.2</v>
      </c>
      <c r="Q16" s="334">
        <v>122748</v>
      </c>
      <c r="R16" s="429">
        <f t="shared" si="2"/>
        <v>0.6</v>
      </c>
      <c r="S16" s="334">
        <v>251518</v>
      </c>
      <c r="T16" s="429">
        <f t="shared" si="2"/>
        <v>1.2</v>
      </c>
      <c r="U16" s="334">
        <v>242168</v>
      </c>
      <c r="V16" s="429">
        <f t="shared" si="2"/>
        <v>1</v>
      </c>
      <c r="W16" s="334">
        <v>213630</v>
      </c>
      <c r="X16" s="429">
        <f t="shared" si="2"/>
        <v>1</v>
      </c>
      <c r="Y16" s="334">
        <v>225023</v>
      </c>
      <c r="Z16" s="429">
        <f t="shared" si="2"/>
        <v>1.1000000000000001</v>
      </c>
      <c r="AA16" s="334">
        <v>192048</v>
      </c>
      <c r="AB16" s="429">
        <f t="shared" si="2"/>
        <v>0.9</v>
      </c>
      <c r="AC16" s="334">
        <v>130847</v>
      </c>
      <c r="AD16" s="429">
        <f t="shared" si="2"/>
        <v>0.7</v>
      </c>
      <c r="AE16" s="334">
        <v>189217</v>
      </c>
      <c r="AF16" s="429">
        <f t="shared" si="2"/>
        <v>1</v>
      </c>
      <c r="AG16" s="334">
        <v>255031</v>
      </c>
      <c r="AH16" s="429">
        <f t="shared" si="2"/>
        <v>1</v>
      </c>
      <c r="AI16" s="334">
        <v>344249</v>
      </c>
      <c r="AJ16" s="429">
        <f t="shared" si="2"/>
        <v>1.4</v>
      </c>
      <c r="AK16" s="334">
        <v>431419</v>
      </c>
      <c r="AL16" s="429">
        <f t="shared" si="2"/>
        <v>1.6</v>
      </c>
      <c r="AM16" s="334">
        <v>417954</v>
      </c>
      <c r="AN16" s="429">
        <f t="shared" si="2"/>
        <v>2</v>
      </c>
      <c r="AO16" s="334">
        <v>227208</v>
      </c>
      <c r="AP16" s="429">
        <f t="shared" si="4"/>
        <v>1.3</v>
      </c>
      <c r="AQ16" s="334">
        <v>228092</v>
      </c>
      <c r="AR16" s="429">
        <f t="shared" si="5"/>
        <v>1.1000000000000001</v>
      </c>
      <c r="AS16" s="334">
        <v>632145</v>
      </c>
      <c r="AT16" s="429">
        <f t="shared" si="6"/>
        <v>1.7</v>
      </c>
      <c r="AU16" s="334">
        <v>382052</v>
      </c>
      <c r="AV16" s="429">
        <f t="shared" si="7"/>
        <v>1.5</v>
      </c>
      <c r="AW16" s="334">
        <v>327035</v>
      </c>
      <c r="AX16" s="429">
        <f t="shared" si="8"/>
        <v>1.8</v>
      </c>
      <c r="AY16" s="334">
        <v>155736</v>
      </c>
      <c r="AZ16" s="429">
        <f t="shared" si="9"/>
        <v>1.4</v>
      </c>
      <c r="BA16" s="334">
        <v>74245</v>
      </c>
      <c r="BB16" s="429">
        <f t="shared" si="10"/>
        <v>1.9</v>
      </c>
      <c r="BC16" s="38">
        <v>16074</v>
      </c>
      <c r="BD16" s="429">
        <f t="shared" si="11"/>
        <v>1.2</v>
      </c>
    </row>
    <row r="17" spans="1:56" s="255" customFormat="1" ht="20.149999999999999" customHeight="1" x14ac:dyDescent="0.55000000000000004">
      <c r="A17" s="336"/>
      <c r="B17" s="346" t="s">
        <v>425</v>
      </c>
      <c r="C17" s="334">
        <v>80511</v>
      </c>
      <c r="D17" s="429">
        <f t="shared" si="0"/>
        <v>0.5</v>
      </c>
      <c r="E17" s="334">
        <v>82419</v>
      </c>
      <c r="F17" s="429">
        <f t="shared" si="1"/>
        <v>0.5</v>
      </c>
      <c r="G17" s="334">
        <v>145705</v>
      </c>
      <c r="H17" s="429">
        <f t="shared" si="2"/>
        <v>0.9</v>
      </c>
      <c r="I17" s="334">
        <v>146113</v>
      </c>
      <c r="J17" s="429">
        <f t="shared" si="3"/>
        <v>0.9</v>
      </c>
      <c r="K17" s="334">
        <v>144971</v>
      </c>
      <c r="L17" s="429">
        <f t="shared" si="2"/>
        <v>0.7</v>
      </c>
      <c r="M17" s="334">
        <v>162861</v>
      </c>
      <c r="N17" s="429">
        <f t="shared" si="2"/>
        <v>0.8</v>
      </c>
      <c r="O17" s="334">
        <v>119776</v>
      </c>
      <c r="P17" s="429">
        <f t="shared" si="2"/>
        <v>0.6</v>
      </c>
      <c r="Q17" s="334">
        <v>141958</v>
      </c>
      <c r="R17" s="429">
        <f t="shared" si="2"/>
        <v>0.7</v>
      </c>
      <c r="S17" s="334">
        <v>148406</v>
      </c>
      <c r="T17" s="429">
        <f t="shared" si="2"/>
        <v>0.7</v>
      </c>
      <c r="U17" s="334">
        <v>192671</v>
      </c>
      <c r="V17" s="429">
        <f t="shared" si="2"/>
        <v>0.8</v>
      </c>
      <c r="W17" s="334">
        <v>105431</v>
      </c>
      <c r="X17" s="429">
        <f t="shared" si="2"/>
        <v>0.5</v>
      </c>
      <c r="Y17" s="334">
        <v>326353</v>
      </c>
      <c r="Z17" s="429">
        <f t="shared" si="2"/>
        <v>1.5</v>
      </c>
      <c r="AA17" s="334">
        <v>187373</v>
      </c>
      <c r="AB17" s="429">
        <f t="shared" si="2"/>
        <v>0.9</v>
      </c>
      <c r="AC17" s="334">
        <v>152223</v>
      </c>
      <c r="AD17" s="429">
        <f t="shared" si="2"/>
        <v>0.8</v>
      </c>
      <c r="AE17" s="334">
        <v>242048</v>
      </c>
      <c r="AF17" s="429">
        <f t="shared" si="2"/>
        <v>1.3</v>
      </c>
      <c r="AG17" s="334">
        <v>713468</v>
      </c>
      <c r="AH17" s="429">
        <f t="shared" si="2"/>
        <v>2.9</v>
      </c>
      <c r="AI17" s="334">
        <v>809196</v>
      </c>
      <c r="AJ17" s="429">
        <f t="shared" si="2"/>
        <v>3.2</v>
      </c>
      <c r="AK17" s="334">
        <v>1299889</v>
      </c>
      <c r="AL17" s="429">
        <f t="shared" si="2"/>
        <v>4.8</v>
      </c>
      <c r="AM17" s="334">
        <v>548408</v>
      </c>
      <c r="AN17" s="429">
        <f t="shared" si="2"/>
        <v>2.6</v>
      </c>
      <c r="AO17" s="334">
        <v>165928</v>
      </c>
      <c r="AP17" s="429">
        <f t="shared" si="4"/>
        <v>1</v>
      </c>
      <c r="AQ17" s="334">
        <v>124337</v>
      </c>
      <c r="AR17" s="429">
        <f t="shared" si="5"/>
        <v>0.6</v>
      </c>
      <c r="AS17" s="334">
        <v>1007904</v>
      </c>
      <c r="AT17" s="429">
        <f t="shared" si="6"/>
        <v>2.7</v>
      </c>
      <c r="AU17" s="334">
        <v>956288</v>
      </c>
      <c r="AV17" s="429">
        <f t="shared" si="7"/>
        <v>3.8</v>
      </c>
      <c r="AW17" s="334">
        <v>1573658</v>
      </c>
      <c r="AX17" s="429">
        <f t="shared" si="8"/>
        <v>8.9</v>
      </c>
      <c r="AY17" s="334">
        <v>278261</v>
      </c>
      <c r="AZ17" s="429">
        <f t="shared" si="9"/>
        <v>2.4</v>
      </c>
      <c r="BA17" s="334">
        <v>315396</v>
      </c>
      <c r="BB17" s="429">
        <f t="shared" si="10"/>
        <v>8.1999999999999993</v>
      </c>
      <c r="BC17" s="38">
        <v>143233</v>
      </c>
      <c r="BD17" s="429">
        <f t="shared" si="11"/>
        <v>10.6</v>
      </c>
    </row>
    <row r="18" spans="1:56" s="255" customFormat="1" ht="20.149999999999999" customHeight="1" x14ac:dyDescent="0.55000000000000004">
      <c r="A18" s="336"/>
      <c r="B18" s="346" t="s">
        <v>426</v>
      </c>
      <c r="C18" s="334">
        <v>704491</v>
      </c>
      <c r="D18" s="429">
        <f t="shared" si="0"/>
        <v>4.0999999999999996</v>
      </c>
      <c r="E18" s="334">
        <v>806347</v>
      </c>
      <c r="F18" s="429">
        <f t="shared" si="1"/>
        <v>4.9000000000000004</v>
      </c>
      <c r="G18" s="334">
        <v>628227</v>
      </c>
      <c r="H18" s="429">
        <f t="shared" si="2"/>
        <v>4.0999999999999996</v>
      </c>
      <c r="I18" s="334">
        <v>652148</v>
      </c>
      <c r="J18" s="429">
        <f t="shared" si="3"/>
        <v>4.2</v>
      </c>
      <c r="K18" s="334">
        <v>818119</v>
      </c>
      <c r="L18" s="429">
        <f t="shared" si="2"/>
        <v>4.0999999999999996</v>
      </c>
      <c r="M18" s="334">
        <v>807209</v>
      </c>
      <c r="N18" s="429">
        <f t="shared" si="2"/>
        <v>4.2</v>
      </c>
      <c r="O18" s="334">
        <v>767208</v>
      </c>
      <c r="P18" s="429">
        <f t="shared" si="2"/>
        <v>4</v>
      </c>
      <c r="Q18" s="334">
        <v>848504</v>
      </c>
      <c r="R18" s="429">
        <f t="shared" si="2"/>
        <v>4.3</v>
      </c>
      <c r="S18" s="334">
        <v>732115</v>
      </c>
      <c r="T18" s="429">
        <f t="shared" si="2"/>
        <v>3.4</v>
      </c>
      <c r="U18" s="334">
        <v>730176</v>
      </c>
      <c r="V18" s="429">
        <f t="shared" si="2"/>
        <v>3.1</v>
      </c>
      <c r="W18" s="334">
        <v>1237517</v>
      </c>
      <c r="X18" s="429">
        <f t="shared" si="2"/>
        <v>5.5</v>
      </c>
      <c r="Y18" s="334">
        <v>814800</v>
      </c>
      <c r="Z18" s="429">
        <f t="shared" si="2"/>
        <v>3.8</v>
      </c>
      <c r="AA18" s="334">
        <v>935109</v>
      </c>
      <c r="AB18" s="429">
        <f t="shared" si="2"/>
        <v>4.4000000000000004</v>
      </c>
      <c r="AC18" s="334">
        <v>977824</v>
      </c>
      <c r="AD18" s="429">
        <f t="shared" si="2"/>
        <v>5.2</v>
      </c>
      <c r="AE18" s="334">
        <v>696674</v>
      </c>
      <c r="AF18" s="429">
        <f t="shared" si="2"/>
        <v>3.6</v>
      </c>
      <c r="AG18" s="334">
        <v>1229466</v>
      </c>
      <c r="AH18" s="429">
        <f t="shared" si="2"/>
        <v>5</v>
      </c>
      <c r="AI18" s="334">
        <v>1111132</v>
      </c>
      <c r="AJ18" s="429">
        <f t="shared" si="2"/>
        <v>4.4000000000000004</v>
      </c>
      <c r="AK18" s="334">
        <v>1128412</v>
      </c>
      <c r="AL18" s="429">
        <f t="shared" si="2"/>
        <v>4.2</v>
      </c>
      <c r="AM18" s="334">
        <v>866219</v>
      </c>
      <c r="AN18" s="429">
        <f t="shared" si="2"/>
        <v>4.2</v>
      </c>
      <c r="AO18" s="334">
        <v>454944</v>
      </c>
      <c r="AP18" s="429">
        <f t="shared" si="4"/>
        <v>2.7</v>
      </c>
      <c r="AQ18" s="334">
        <v>612796</v>
      </c>
      <c r="AR18" s="429">
        <f t="shared" si="5"/>
        <v>2.9</v>
      </c>
      <c r="AS18" s="334">
        <v>1331388</v>
      </c>
      <c r="AT18" s="429">
        <f t="shared" si="6"/>
        <v>3.5</v>
      </c>
      <c r="AU18" s="334">
        <v>805816</v>
      </c>
      <c r="AV18" s="429">
        <f t="shared" si="7"/>
        <v>3.2</v>
      </c>
      <c r="AW18" s="334">
        <v>848159</v>
      </c>
      <c r="AX18" s="429">
        <f t="shared" si="8"/>
        <v>4.8</v>
      </c>
      <c r="AY18" s="334">
        <v>583819</v>
      </c>
      <c r="AZ18" s="429">
        <f t="shared" si="9"/>
        <v>5.0999999999999996</v>
      </c>
      <c r="BA18" s="334">
        <v>308558</v>
      </c>
      <c r="BB18" s="429">
        <f t="shared" si="10"/>
        <v>8</v>
      </c>
      <c r="BC18" s="38">
        <v>36938</v>
      </c>
      <c r="BD18" s="429">
        <f t="shared" si="11"/>
        <v>2.7</v>
      </c>
    </row>
    <row r="19" spans="1:56" s="255" customFormat="1" ht="20.149999999999999" customHeight="1" x14ac:dyDescent="0.55000000000000004">
      <c r="A19" s="337"/>
      <c r="B19" s="347" t="s">
        <v>427</v>
      </c>
      <c r="C19" s="334">
        <v>507509</v>
      </c>
      <c r="D19" s="429">
        <f t="shared" si="0"/>
        <v>3</v>
      </c>
      <c r="E19" s="334">
        <v>329459</v>
      </c>
      <c r="F19" s="429">
        <f t="shared" si="1"/>
        <v>2</v>
      </c>
      <c r="G19" s="334">
        <v>409186</v>
      </c>
      <c r="H19" s="429">
        <f t="shared" si="2"/>
        <v>2.7</v>
      </c>
      <c r="I19" s="334">
        <v>335923</v>
      </c>
      <c r="J19" s="429">
        <f t="shared" si="3"/>
        <v>2.2000000000000002</v>
      </c>
      <c r="K19" s="334">
        <v>504214</v>
      </c>
      <c r="L19" s="429">
        <f t="shared" si="2"/>
        <v>2.5</v>
      </c>
      <c r="M19" s="334">
        <v>453179</v>
      </c>
      <c r="N19" s="429">
        <f t="shared" si="2"/>
        <v>2.2999999999999998</v>
      </c>
      <c r="O19" s="334">
        <v>466554</v>
      </c>
      <c r="P19" s="429">
        <f t="shared" si="2"/>
        <v>2.5</v>
      </c>
      <c r="Q19" s="334">
        <v>279643</v>
      </c>
      <c r="R19" s="429">
        <f t="shared" si="2"/>
        <v>1.4</v>
      </c>
      <c r="S19" s="334">
        <v>385915</v>
      </c>
      <c r="T19" s="429">
        <f t="shared" si="2"/>
        <v>1.8</v>
      </c>
      <c r="U19" s="334">
        <v>470890</v>
      </c>
      <c r="V19" s="429">
        <f t="shared" si="2"/>
        <v>2</v>
      </c>
      <c r="W19" s="334">
        <v>361697</v>
      </c>
      <c r="X19" s="429">
        <f t="shared" si="2"/>
        <v>1.6</v>
      </c>
      <c r="Y19" s="334">
        <v>385182</v>
      </c>
      <c r="Z19" s="429">
        <f t="shared" si="2"/>
        <v>1.8</v>
      </c>
      <c r="AA19" s="334">
        <v>462005</v>
      </c>
      <c r="AB19" s="429">
        <f t="shared" si="2"/>
        <v>2.2000000000000002</v>
      </c>
      <c r="AC19" s="334">
        <v>507584</v>
      </c>
      <c r="AD19" s="429">
        <f t="shared" si="2"/>
        <v>2.7</v>
      </c>
      <c r="AE19" s="334">
        <v>343497</v>
      </c>
      <c r="AF19" s="429">
        <f t="shared" si="2"/>
        <v>1.8</v>
      </c>
      <c r="AG19" s="334">
        <v>1214668</v>
      </c>
      <c r="AH19" s="429">
        <f t="shared" si="2"/>
        <v>4.9000000000000004</v>
      </c>
      <c r="AI19" s="334">
        <v>760727</v>
      </c>
      <c r="AJ19" s="429">
        <f t="shared" si="2"/>
        <v>3</v>
      </c>
      <c r="AK19" s="334">
        <v>534024</v>
      </c>
      <c r="AL19" s="429">
        <f t="shared" si="2"/>
        <v>2</v>
      </c>
      <c r="AM19" s="334">
        <v>393614</v>
      </c>
      <c r="AN19" s="429">
        <f t="shared" si="2"/>
        <v>1.9</v>
      </c>
      <c r="AO19" s="334">
        <v>577186</v>
      </c>
      <c r="AP19" s="429">
        <f t="shared" si="4"/>
        <v>3.4</v>
      </c>
      <c r="AQ19" s="334">
        <v>779728</v>
      </c>
      <c r="AR19" s="429">
        <f t="shared" si="5"/>
        <v>3.7</v>
      </c>
      <c r="AS19" s="334">
        <v>1468862</v>
      </c>
      <c r="AT19" s="429">
        <f t="shared" si="6"/>
        <v>3.9</v>
      </c>
      <c r="AU19" s="334">
        <v>941025</v>
      </c>
      <c r="AV19" s="429">
        <f t="shared" si="7"/>
        <v>3.8</v>
      </c>
      <c r="AW19" s="334">
        <v>697633</v>
      </c>
      <c r="AX19" s="429">
        <f t="shared" si="8"/>
        <v>3.9</v>
      </c>
      <c r="AY19" s="334">
        <v>142444</v>
      </c>
      <c r="AZ19" s="429">
        <f t="shared" si="9"/>
        <v>1.2</v>
      </c>
      <c r="BA19" s="334">
        <v>106635</v>
      </c>
      <c r="BB19" s="429">
        <f t="shared" si="10"/>
        <v>2.8</v>
      </c>
      <c r="BC19" s="38">
        <v>22662</v>
      </c>
      <c r="BD19" s="429">
        <f t="shared" si="11"/>
        <v>1.7</v>
      </c>
    </row>
    <row r="20" spans="1:56" s="255" customFormat="1" ht="20.149999999999999" customHeight="1" x14ac:dyDescent="0.55000000000000004">
      <c r="A20" s="337"/>
      <c r="B20" s="347" t="s">
        <v>428</v>
      </c>
      <c r="C20" s="334">
        <v>257107</v>
      </c>
      <c r="D20" s="429">
        <f t="shared" si="0"/>
        <v>1.5</v>
      </c>
      <c r="E20" s="334">
        <v>320556</v>
      </c>
      <c r="F20" s="429">
        <f t="shared" si="1"/>
        <v>2</v>
      </c>
      <c r="G20" s="334">
        <v>556900</v>
      </c>
      <c r="H20" s="429">
        <f t="shared" si="2"/>
        <v>3.6</v>
      </c>
      <c r="I20" s="334">
        <v>283714</v>
      </c>
      <c r="J20" s="429">
        <f t="shared" si="3"/>
        <v>1.8</v>
      </c>
      <c r="K20" s="334">
        <v>344456</v>
      </c>
      <c r="L20" s="429">
        <f t="shared" si="2"/>
        <v>1.7</v>
      </c>
      <c r="M20" s="334">
        <v>294597</v>
      </c>
      <c r="N20" s="429">
        <f t="shared" si="2"/>
        <v>1.5</v>
      </c>
      <c r="O20" s="334">
        <v>371165</v>
      </c>
      <c r="P20" s="429">
        <f t="shared" si="2"/>
        <v>2</v>
      </c>
      <c r="Q20" s="334">
        <v>585110</v>
      </c>
      <c r="R20" s="429">
        <f t="shared" si="2"/>
        <v>3</v>
      </c>
      <c r="S20" s="334">
        <v>878624</v>
      </c>
      <c r="T20" s="429">
        <f t="shared" si="2"/>
        <v>4.0999999999999996</v>
      </c>
      <c r="U20" s="334">
        <v>992035</v>
      </c>
      <c r="V20" s="429">
        <f t="shared" si="2"/>
        <v>4.2</v>
      </c>
      <c r="W20" s="334">
        <v>256038</v>
      </c>
      <c r="X20" s="429">
        <f t="shared" si="2"/>
        <v>1.1000000000000001</v>
      </c>
      <c r="Y20" s="334">
        <v>601171</v>
      </c>
      <c r="Z20" s="429">
        <f t="shared" si="2"/>
        <v>2.8</v>
      </c>
      <c r="AA20" s="334">
        <v>1051374</v>
      </c>
      <c r="AB20" s="429">
        <f t="shared" si="2"/>
        <v>5</v>
      </c>
      <c r="AC20" s="334">
        <v>186025</v>
      </c>
      <c r="AD20" s="429">
        <f t="shared" si="2"/>
        <v>1</v>
      </c>
      <c r="AE20" s="334">
        <v>828251</v>
      </c>
      <c r="AF20" s="429">
        <f t="shared" si="2"/>
        <v>4.3</v>
      </c>
      <c r="AG20" s="334">
        <v>1152816</v>
      </c>
      <c r="AH20" s="429">
        <f t="shared" si="2"/>
        <v>4.7</v>
      </c>
      <c r="AI20" s="334">
        <v>868267</v>
      </c>
      <c r="AJ20" s="429">
        <f t="shared" si="2"/>
        <v>3.4</v>
      </c>
      <c r="AK20" s="334">
        <v>924437</v>
      </c>
      <c r="AL20" s="429">
        <f t="shared" si="2"/>
        <v>3.4</v>
      </c>
      <c r="AM20" s="334">
        <v>499239</v>
      </c>
      <c r="AN20" s="429">
        <f t="shared" si="2"/>
        <v>2.4</v>
      </c>
      <c r="AO20" s="334">
        <v>91130</v>
      </c>
      <c r="AP20" s="429">
        <f t="shared" si="4"/>
        <v>0.5</v>
      </c>
      <c r="AQ20" s="334">
        <v>1046584</v>
      </c>
      <c r="AR20" s="429">
        <f t="shared" si="5"/>
        <v>5</v>
      </c>
      <c r="AS20" s="334">
        <v>1241739</v>
      </c>
      <c r="AT20" s="429">
        <f t="shared" si="6"/>
        <v>3.3</v>
      </c>
      <c r="AU20" s="334">
        <v>1130377</v>
      </c>
      <c r="AV20" s="429">
        <f t="shared" si="7"/>
        <v>4.5</v>
      </c>
      <c r="AW20" s="334">
        <v>511575</v>
      </c>
      <c r="AX20" s="429">
        <f t="shared" si="8"/>
        <v>2.9</v>
      </c>
      <c r="AY20" s="334">
        <v>566603</v>
      </c>
      <c r="AZ20" s="429">
        <f t="shared" si="9"/>
        <v>4.9000000000000004</v>
      </c>
      <c r="BA20" s="334">
        <v>240375</v>
      </c>
      <c r="BB20" s="429">
        <f t="shared" si="10"/>
        <v>6.2</v>
      </c>
      <c r="BC20" s="38">
        <v>133536</v>
      </c>
      <c r="BD20" s="429">
        <f t="shared" si="11"/>
        <v>9.9</v>
      </c>
    </row>
    <row r="21" spans="1:56" s="255" customFormat="1" ht="20.149999999999999" customHeight="1" x14ac:dyDescent="0.55000000000000004">
      <c r="A21" s="338"/>
      <c r="B21" s="345" t="s">
        <v>112</v>
      </c>
      <c r="C21" s="334">
        <v>651429</v>
      </c>
      <c r="D21" s="429">
        <f t="shared" si="0"/>
        <v>3.8</v>
      </c>
      <c r="E21" s="334">
        <v>517559</v>
      </c>
      <c r="F21" s="429">
        <f t="shared" si="1"/>
        <v>3.2</v>
      </c>
      <c r="G21" s="334">
        <v>491666</v>
      </c>
      <c r="H21" s="429">
        <f t="shared" si="2"/>
        <v>3.2</v>
      </c>
      <c r="I21" s="334">
        <v>454222</v>
      </c>
      <c r="J21" s="429">
        <f t="shared" si="3"/>
        <v>2.9</v>
      </c>
      <c r="K21" s="334">
        <v>580230</v>
      </c>
      <c r="L21" s="429">
        <f t="shared" si="2"/>
        <v>2.9</v>
      </c>
      <c r="M21" s="334">
        <v>604995</v>
      </c>
      <c r="N21" s="429">
        <f t="shared" si="2"/>
        <v>3.1</v>
      </c>
      <c r="O21" s="334">
        <v>580343</v>
      </c>
      <c r="P21" s="429">
        <f t="shared" si="2"/>
        <v>3</v>
      </c>
      <c r="Q21" s="334">
        <v>530356</v>
      </c>
      <c r="R21" s="429">
        <f t="shared" si="2"/>
        <v>2.7</v>
      </c>
      <c r="S21" s="334">
        <v>678676</v>
      </c>
      <c r="T21" s="429">
        <f t="shared" si="2"/>
        <v>3.1</v>
      </c>
      <c r="U21" s="334">
        <v>1083366</v>
      </c>
      <c r="V21" s="429">
        <f t="shared" si="2"/>
        <v>4.5999999999999996</v>
      </c>
      <c r="W21" s="334">
        <v>996149</v>
      </c>
      <c r="X21" s="429">
        <f t="shared" si="2"/>
        <v>4.5</v>
      </c>
      <c r="Y21" s="334">
        <v>891013</v>
      </c>
      <c r="Z21" s="429">
        <f t="shared" si="2"/>
        <v>4.2</v>
      </c>
      <c r="AA21" s="334">
        <v>645762</v>
      </c>
      <c r="AB21" s="429">
        <f t="shared" si="2"/>
        <v>3.1</v>
      </c>
      <c r="AC21" s="334">
        <v>550519</v>
      </c>
      <c r="AD21" s="429">
        <f t="shared" si="2"/>
        <v>2.9</v>
      </c>
      <c r="AE21" s="334">
        <v>2047545</v>
      </c>
      <c r="AF21" s="429">
        <f t="shared" si="2"/>
        <v>10.7</v>
      </c>
      <c r="AG21" s="334">
        <v>848555</v>
      </c>
      <c r="AH21" s="429">
        <f t="shared" si="2"/>
        <v>3.4</v>
      </c>
      <c r="AI21" s="334">
        <v>1638237</v>
      </c>
      <c r="AJ21" s="429">
        <f t="shared" si="2"/>
        <v>6.5</v>
      </c>
      <c r="AK21" s="334">
        <v>1235439</v>
      </c>
      <c r="AL21" s="429">
        <f t="shared" si="2"/>
        <v>4.5999999999999996</v>
      </c>
      <c r="AM21" s="334">
        <v>830594</v>
      </c>
      <c r="AN21" s="429">
        <f t="shared" si="2"/>
        <v>4</v>
      </c>
      <c r="AO21" s="334">
        <v>587768</v>
      </c>
      <c r="AP21" s="429">
        <f t="shared" si="4"/>
        <v>3.4</v>
      </c>
      <c r="AQ21" s="334">
        <v>1349077</v>
      </c>
      <c r="AR21" s="429">
        <f t="shared" si="5"/>
        <v>6.4</v>
      </c>
      <c r="AS21" s="334">
        <v>1928462</v>
      </c>
      <c r="AT21" s="429">
        <f t="shared" si="6"/>
        <v>5.0999999999999996</v>
      </c>
      <c r="AU21" s="334">
        <v>1017318</v>
      </c>
      <c r="AV21" s="429">
        <f t="shared" si="7"/>
        <v>4.0999999999999996</v>
      </c>
      <c r="AW21" s="334">
        <v>552378</v>
      </c>
      <c r="AX21" s="429">
        <f t="shared" si="8"/>
        <v>3.1</v>
      </c>
      <c r="AY21" s="334">
        <v>350759</v>
      </c>
      <c r="AZ21" s="429">
        <f t="shared" si="9"/>
        <v>3.1</v>
      </c>
      <c r="BA21" s="334">
        <v>157361</v>
      </c>
      <c r="BB21" s="429">
        <f t="shared" si="10"/>
        <v>4.0999999999999996</v>
      </c>
      <c r="BC21" s="38">
        <v>37125</v>
      </c>
      <c r="BD21" s="429">
        <f t="shared" si="11"/>
        <v>2.8</v>
      </c>
    </row>
    <row r="22" spans="1:56" s="255" customFormat="1" ht="20.149999999999999" customHeight="1" x14ac:dyDescent="0.55000000000000004">
      <c r="A22" s="332">
        <v>3</v>
      </c>
      <c r="B22" s="333" t="s">
        <v>102</v>
      </c>
      <c r="C22" s="334">
        <v>3341096</v>
      </c>
      <c r="D22" s="429">
        <f t="shared" si="0"/>
        <v>19.399999999999999</v>
      </c>
      <c r="E22" s="334">
        <v>2948956</v>
      </c>
      <c r="F22" s="429">
        <f t="shared" si="1"/>
        <v>18</v>
      </c>
      <c r="G22" s="334">
        <v>2874705</v>
      </c>
      <c r="H22" s="429">
        <f t="shared" si="2"/>
        <v>18.7</v>
      </c>
      <c r="I22" s="334">
        <v>2628398</v>
      </c>
      <c r="J22" s="429">
        <f t="shared" si="3"/>
        <v>17</v>
      </c>
      <c r="K22" s="334">
        <v>3950345</v>
      </c>
      <c r="L22" s="429">
        <f t="shared" si="2"/>
        <v>19.600000000000001</v>
      </c>
      <c r="M22" s="334">
        <v>3778511</v>
      </c>
      <c r="N22" s="429">
        <f t="shared" si="2"/>
        <v>19.5</v>
      </c>
      <c r="O22" s="334">
        <v>3582734</v>
      </c>
      <c r="P22" s="429">
        <f t="shared" si="2"/>
        <v>18.8</v>
      </c>
      <c r="Q22" s="334">
        <v>3695029</v>
      </c>
      <c r="R22" s="429">
        <f t="shared" si="2"/>
        <v>18.899999999999999</v>
      </c>
      <c r="S22" s="334">
        <v>3893381</v>
      </c>
      <c r="T22" s="429">
        <f t="shared" si="2"/>
        <v>17.899999999999999</v>
      </c>
      <c r="U22" s="334">
        <v>4332614</v>
      </c>
      <c r="V22" s="429">
        <f t="shared" si="2"/>
        <v>18.399999999999999</v>
      </c>
      <c r="W22" s="334">
        <v>4761103</v>
      </c>
      <c r="X22" s="429">
        <f t="shared" si="2"/>
        <v>21.3</v>
      </c>
      <c r="Y22" s="334">
        <v>4470023</v>
      </c>
      <c r="Z22" s="429">
        <f t="shared" si="2"/>
        <v>21</v>
      </c>
      <c r="AA22" s="334">
        <v>4275542</v>
      </c>
      <c r="AB22" s="429">
        <f t="shared" si="2"/>
        <v>20.2</v>
      </c>
      <c r="AC22" s="334">
        <v>3525202</v>
      </c>
      <c r="AD22" s="429">
        <f t="shared" si="2"/>
        <v>18.8</v>
      </c>
      <c r="AE22" s="334">
        <v>3546188</v>
      </c>
      <c r="AF22" s="429">
        <f t="shared" si="2"/>
        <v>18.5</v>
      </c>
      <c r="AG22" s="334">
        <v>4788036</v>
      </c>
      <c r="AH22" s="429">
        <f t="shared" si="2"/>
        <v>19.399999999999999</v>
      </c>
      <c r="AI22" s="334">
        <v>5360734</v>
      </c>
      <c r="AJ22" s="429">
        <f t="shared" si="2"/>
        <v>21.2</v>
      </c>
      <c r="AK22" s="334">
        <v>5437898</v>
      </c>
      <c r="AL22" s="429">
        <f t="shared" si="2"/>
        <v>20.100000000000001</v>
      </c>
      <c r="AM22" s="334">
        <v>4959758</v>
      </c>
      <c r="AN22" s="429">
        <f t="shared" si="2"/>
        <v>23.8</v>
      </c>
      <c r="AO22" s="334">
        <v>3750357</v>
      </c>
      <c r="AP22" s="429">
        <f t="shared" si="4"/>
        <v>22</v>
      </c>
      <c r="AQ22" s="334">
        <v>3645679</v>
      </c>
      <c r="AR22" s="429">
        <f t="shared" si="5"/>
        <v>17.3</v>
      </c>
      <c r="AS22" s="334">
        <v>7645704</v>
      </c>
      <c r="AT22" s="429">
        <f t="shared" si="6"/>
        <v>20.2</v>
      </c>
      <c r="AU22" s="334">
        <v>6121429</v>
      </c>
      <c r="AV22" s="429">
        <f t="shared" si="7"/>
        <v>24.4</v>
      </c>
      <c r="AW22" s="334">
        <v>5085146</v>
      </c>
      <c r="AX22" s="429">
        <f t="shared" si="8"/>
        <v>28.6</v>
      </c>
      <c r="AY22" s="334">
        <v>3236678</v>
      </c>
      <c r="AZ22" s="429">
        <f t="shared" si="9"/>
        <v>28.2</v>
      </c>
      <c r="BA22" s="334">
        <v>809079</v>
      </c>
      <c r="BB22" s="429">
        <f t="shared" si="10"/>
        <v>20.9</v>
      </c>
      <c r="BC22" s="38">
        <v>299446</v>
      </c>
      <c r="BD22" s="429">
        <f t="shared" si="11"/>
        <v>22.2</v>
      </c>
    </row>
    <row r="23" spans="1:56" s="255" customFormat="1" ht="20.149999999999999" customHeight="1" x14ac:dyDescent="0.55000000000000004">
      <c r="A23" s="332">
        <v>4</v>
      </c>
      <c r="B23" s="333" t="s">
        <v>103</v>
      </c>
      <c r="C23" s="334">
        <v>2108208</v>
      </c>
      <c r="D23" s="429">
        <f t="shared" si="0"/>
        <v>12.3</v>
      </c>
      <c r="E23" s="334">
        <v>3097994</v>
      </c>
      <c r="F23" s="429">
        <f t="shared" si="1"/>
        <v>18.899999999999999</v>
      </c>
      <c r="G23" s="334">
        <v>2444920</v>
      </c>
      <c r="H23" s="429">
        <f t="shared" si="2"/>
        <v>15.9</v>
      </c>
      <c r="I23" s="334">
        <v>2747226</v>
      </c>
      <c r="J23" s="429">
        <f t="shared" si="3"/>
        <v>17.8</v>
      </c>
      <c r="K23" s="334">
        <v>3188875</v>
      </c>
      <c r="L23" s="429">
        <f t="shared" si="2"/>
        <v>15.9</v>
      </c>
      <c r="M23" s="334">
        <v>2537030</v>
      </c>
      <c r="N23" s="429">
        <f t="shared" si="2"/>
        <v>13.1</v>
      </c>
      <c r="O23" s="334">
        <v>2451789</v>
      </c>
      <c r="P23" s="429">
        <f t="shared" si="2"/>
        <v>12.9</v>
      </c>
      <c r="Q23" s="334">
        <v>3083790</v>
      </c>
      <c r="R23" s="429">
        <f t="shared" si="2"/>
        <v>15.7</v>
      </c>
      <c r="S23" s="334">
        <v>4190695</v>
      </c>
      <c r="T23" s="429">
        <f t="shared" si="2"/>
        <v>19.3</v>
      </c>
      <c r="U23" s="334">
        <v>3787177</v>
      </c>
      <c r="V23" s="429">
        <f t="shared" si="2"/>
        <v>16.100000000000001</v>
      </c>
      <c r="W23" s="334">
        <v>4306349</v>
      </c>
      <c r="X23" s="429">
        <f t="shared" si="2"/>
        <v>19.3</v>
      </c>
      <c r="Y23" s="334">
        <v>1804109</v>
      </c>
      <c r="Z23" s="429">
        <f t="shared" si="2"/>
        <v>8.5</v>
      </c>
      <c r="AA23" s="334">
        <v>1229400</v>
      </c>
      <c r="AB23" s="429">
        <f t="shared" si="2"/>
        <v>5.8</v>
      </c>
      <c r="AC23" s="334">
        <v>1310606</v>
      </c>
      <c r="AD23" s="429">
        <f t="shared" si="2"/>
        <v>7</v>
      </c>
      <c r="AE23" s="334">
        <v>976896</v>
      </c>
      <c r="AF23" s="429">
        <f t="shared" si="2"/>
        <v>5.0999999999999996</v>
      </c>
      <c r="AG23" s="334">
        <v>2362489</v>
      </c>
      <c r="AH23" s="429">
        <f t="shared" si="2"/>
        <v>9.6</v>
      </c>
      <c r="AI23" s="334">
        <v>2467702</v>
      </c>
      <c r="AJ23" s="429">
        <f t="shared" si="2"/>
        <v>9.8000000000000007</v>
      </c>
      <c r="AK23" s="334">
        <v>2718033</v>
      </c>
      <c r="AL23" s="429">
        <f t="shared" si="2"/>
        <v>10.1</v>
      </c>
      <c r="AM23" s="334">
        <v>2074602</v>
      </c>
      <c r="AN23" s="429">
        <f t="shared" si="2"/>
        <v>10</v>
      </c>
      <c r="AO23" s="334">
        <v>2291211</v>
      </c>
      <c r="AP23" s="429">
        <f t="shared" si="4"/>
        <v>13.4</v>
      </c>
      <c r="AQ23" s="334">
        <v>2607864</v>
      </c>
      <c r="AR23" s="429">
        <f t="shared" si="5"/>
        <v>12.3</v>
      </c>
      <c r="AS23" s="334">
        <v>6306055</v>
      </c>
      <c r="AT23" s="429">
        <f t="shared" si="6"/>
        <v>16.600000000000001</v>
      </c>
      <c r="AU23" s="334">
        <v>5228584</v>
      </c>
      <c r="AV23" s="429">
        <f t="shared" si="7"/>
        <v>20.9</v>
      </c>
      <c r="AW23" s="334">
        <v>2604429</v>
      </c>
      <c r="AX23" s="429">
        <f t="shared" si="8"/>
        <v>14.7</v>
      </c>
      <c r="AY23" s="334">
        <v>2309194</v>
      </c>
      <c r="AZ23" s="429">
        <f t="shared" si="9"/>
        <v>20.100000000000001</v>
      </c>
      <c r="BA23" s="334">
        <v>629423</v>
      </c>
      <c r="BB23" s="429">
        <f t="shared" si="10"/>
        <v>16.3</v>
      </c>
      <c r="BC23" s="38">
        <v>160726</v>
      </c>
      <c r="BD23" s="429">
        <f t="shared" si="11"/>
        <v>11.9</v>
      </c>
    </row>
    <row r="24" spans="1:56" s="255" customFormat="1" ht="20.149999999999999" customHeight="1" x14ac:dyDescent="0.55000000000000004">
      <c r="A24" s="332">
        <v>5</v>
      </c>
      <c r="B24" s="333" t="s">
        <v>104</v>
      </c>
      <c r="C24" s="334">
        <v>1208029</v>
      </c>
      <c r="D24" s="429">
        <f t="shared" si="0"/>
        <v>7</v>
      </c>
      <c r="E24" s="334">
        <v>1076345</v>
      </c>
      <c r="F24" s="429">
        <f t="shared" si="1"/>
        <v>6.6</v>
      </c>
      <c r="G24" s="334">
        <v>945463</v>
      </c>
      <c r="H24" s="429">
        <f t="shared" si="2"/>
        <v>6.2</v>
      </c>
      <c r="I24" s="334">
        <v>1185152</v>
      </c>
      <c r="J24" s="429">
        <f t="shared" si="3"/>
        <v>7.7</v>
      </c>
      <c r="K24" s="334">
        <v>1463847</v>
      </c>
      <c r="L24" s="429">
        <f t="shared" si="2"/>
        <v>7.3</v>
      </c>
      <c r="M24" s="334">
        <v>1648908</v>
      </c>
      <c r="N24" s="429">
        <f t="shared" si="2"/>
        <v>8.5</v>
      </c>
      <c r="O24" s="334">
        <v>1482152</v>
      </c>
      <c r="P24" s="429">
        <f t="shared" si="2"/>
        <v>7.8</v>
      </c>
      <c r="Q24" s="334">
        <v>1520140</v>
      </c>
      <c r="R24" s="429">
        <f t="shared" si="2"/>
        <v>7.8</v>
      </c>
      <c r="S24" s="334">
        <v>1725698</v>
      </c>
      <c r="T24" s="429">
        <f t="shared" si="2"/>
        <v>8</v>
      </c>
      <c r="U24" s="334">
        <v>1755026</v>
      </c>
      <c r="V24" s="429">
        <f t="shared" si="2"/>
        <v>7.5</v>
      </c>
      <c r="W24" s="334">
        <v>1530782</v>
      </c>
      <c r="X24" s="429">
        <f t="shared" si="2"/>
        <v>6.9</v>
      </c>
      <c r="Y24" s="334">
        <v>2147190</v>
      </c>
      <c r="Z24" s="429">
        <f t="shared" si="2"/>
        <v>10.1</v>
      </c>
      <c r="AA24" s="334">
        <v>1918671</v>
      </c>
      <c r="AB24" s="429">
        <f t="shared" si="2"/>
        <v>9.1</v>
      </c>
      <c r="AC24" s="334">
        <v>1977920</v>
      </c>
      <c r="AD24" s="429">
        <f t="shared" si="2"/>
        <v>10.5</v>
      </c>
      <c r="AE24" s="334">
        <v>1905248</v>
      </c>
      <c r="AF24" s="429">
        <f t="shared" si="2"/>
        <v>9.9</v>
      </c>
      <c r="AG24" s="334">
        <v>2359042</v>
      </c>
      <c r="AH24" s="429">
        <f t="shared" si="2"/>
        <v>9.5</v>
      </c>
      <c r="AI24" s="334">
        <v>2230190</v>
      </c>
      <c r="AJ24" s="429">
        <f t="shared" si="2"/>
        <v>8.8000000000000007</v>
      </c>
      <c r="AK24" s="334">
        <v>2148108</v>
      </c>
      <c r="AL24" s="429">
        <f t="shared" si="2"/>
        <v>8</v>
      </c>
      <c r="AM24" s="334">
        <v>2131779</v>
      </c>
      <c r="AN24" s="429">
        <f t="shared" si="2"/>
        <v>10.199999999999999</v>
      </c>
      <c r="AO24" s="334">
        <v>1567456</v>
      </c>
      <c r="AP24" s="429">
        <f t="shared" si="4"/>
        <v>9.1999999999999993</v>
      </c>
      <c r="AQ24" s="334">
        <v>1320041</v>
      </c>
      <c r="AR24" s="429">
        <f t="shared" si="5"/>
        <v>6.2</v>
      </c>
      <c r="AS24" s="334">
        <v>3017761</v>
      </c>
      <c r="AT24" s="429">
        <f t="shared" si="6"/>
        <v>8</v>
      </c>
      <c r="AU24" s="334">
        <v>1530602</v>
      </c>
      <c r="AV24" s="429">
        <f t="shared" si="7"/>
        <v>6.1</v>
      </c>
      <c r="AW24" s="334">
        <v>1764792</v>
      </c>
      <c r="AX24" s="429">
        <f t="shared" si="8"/>
        <v>9.9</v>
      </c>
      <c r="AY24" s="334">
        <v>1203548</v>
      </c>
      <c r="AZ24" s="429">
        <f t="shared" si="9"/>
        <v>10.5</v>
      </c>
      <c r="BA24" s="334">
        <v>314963</v>
      </c>
      <c r="BB24" s="429">
        <f t="shared" si="10"/>
        <v>8.1</v>
      </c>
      <c r="BC24" s="38">
        <v>127076</v>
      </c>
      <c r="BD24" s="429">
        <f t="shared" si="11"/>
        <v>9.4</v>
      </c>
    </row>
    <row r="25" spans="1:56" s="255" customFormat="1" ht="20.149999999999999" customHeight="1" x14ac:dyDescent="0.55000000000000004">
      <c r="A25" s="332">
        <v>6</v>
      </c>
      <c r="B25" s="333" t="s">
        <v>105</v>
      </c>
      <c r="C25" s="334">
        <v>402116</v>
      </c>
      <c r="D25" s="429">
        <f t="shared" si="0"/>
        <v>2.2999999999999998</v>
      </c>
      <c r="E25" s="334">
        <v>362963</v>
      </c>
      <c r="F25" s="429">
        <f t="shared" si="1"/>
        <v>2.2000000000000002</v>
      </c>
      <c r="G25" s="334">
        <v>704577</v>
      </c>
      <c r="H25" s="429">
        <f t="shared" si="2"/>
        <v>4.5999999999999996</v>
      </c>
      <c r="I25" s="334">
        <v>275290</v>
      </c>
      <c r="J25" s="429">
        <f t="shared" si="3"/>
        <v>1.8</v>
      </c>
      <c r="K25" s="334">
        <v>471521</v>
      </c>
      <c r="L25" s="429">
        <f t="shared" si="2"/>
        <v>2.2999999999999998</v>
      </c>
      <c r="M25" s="334">
        <v>374660</v>
      </c>
      <c r="N25" s="429">
        <f t="shared" si="2"/>
        <v>1.9</v>
      </c>
      <c r="O25" s="334">
        <v>733771</v>
      </c>
      <c r="P25" s="429">
        <f t="shared" si="2"/>
        <v>3.9</v>
      </c>
      <c r="Q25" s="334">
        <v>898137</v>
      </c>
      <c r="R25" s="429">
        <f t="shared" si="2"/>
        <v>4.5999999999999996</v>
      </c>
      <c r="S25" s="334">
        <v>875500</v>
      </c>
      <c r="T25" s="429">
        <f t="shared" si="2"/>
        <v>4</v>
      </c>
      <c r="U25" s="334">
        <v>1087231</v>
      </c>
      <c r="V25" s="429">
        <f t="shared" si="2"/>
        <v>4.5999999999999996</v>
      </c>
      <c r="W25" s="334">
        <v>914942</v>
      </c>
      <c r="X25" s="429">
        <f t="shared" si="2"/>
        <v>4.0999999999999996</v>
      </c>
      <c r="Y25" s="334">
        <v>1229710</v>
      </c>
      <c r="Z25" s="429">
        <f t="shared" si="2"/>
        <v>5.8</v>
      </c>
      <c r="AA25" s="334">
        <v>758826</v>
      </c>
      <c r="AB25" s="429">
        <f t="shared" si="2"/>
        <v>3.6</v>
      </c>
      <c r="AC25" s="334">
        <v>754935</v>
      </c>
      <c r="AD25" s="429">
        <f t="shared" si="2"/>
        <v>4</v>
      </c>
      <c r="AE25" s="334">
        <v>186783</v>
      </c>
      <c r="AF25" s="429">
        <f t="shared" si="2"/>
        <v>1</v>
      </c>
      <c r="AG25" s="334">
        <v>282421</v>
      </c>
      <c r="AH25" s="429">
        <f t="shared" si="2"/>
        <v>1.1000000000000001</v>
      </c>
      <c r="AI25" s="334">
        <v>533109</v>
      </c>
      <c r="AJ25" s="429">
        <f t="shared" si="2"/>
        <v>2.1</v>
      </c>
      <c r="AK25" s="334">
        <v>1013548</v>
      </c>
      <c r="AL25" s="429">
        <f t="shared" si="2"/>
        <v>3.8</v>
      </c>
      <c r="AM25" s="334">
        <v>964509</v>
      </c>
      <c r="AN25" s="429">
        <f t="shared" si="2"/>
        <v>4.5999999999999996</v>
      </c>
      <c r="AO25" s="334">
        <v>662233</v>
      </c>
      <c r="AP25" s="429">
        <f t="shared" si="4"/>
        <v>3.9</v>
      </c>
      <c r="AQ25" s="334">
        <v>350573</v>
      </c>
      <c r="AR25" s="429">
        <f t="shared" si="5"/>
        <v>1.7</v>
      </c>
      <c r="AS25" s="334">
        <v>510720</v>
      </c>
      <c r="AT25" s="429">
        <f t="shared" si="6"/>
        <v>1.3</v>
      </c>
      <c r="AU25" s="334">
        <v>739459</v>
      </c>
      <c r="AV25" s="429">
        <f t="shared" si="7"/>
        <v>3</v>
      </c>
      <c r="AW25" s="334">
        <v>92523</v>
      </c>
      <c r="AX25" s="429">
        <f t="shared" si="8"/>
        <v>0.5</v>
      </c>
      <c r="AY25" s="334">
        <v>132297</v>
      </c>
      <c r="AZ25" s="429">
        <f t="shared" si="9"/>
        <v>1.2</v>
      </c>
      <c r="BA25" s="334">
        <v>77195</v>
      </c>
      <c r="BB25" s="429">
        <f t="shared" si="10"/>
        <v>2</v>
      </c>
      <c r="BC25" s="38">
        <v>72105</v>
      </c>
      <c r="BD25" s="429">
        <f t="shared" si="11"/>
        <v>5.3</v>
      </c>
    </row>
    <row r="26" spans="1:56" s="255" customFormat="1" ht="20.149999999999999" customHeight="1" x14ac:dyDescent="0.55000000000000004">
      <c r="A26" s="332">
        <v>7</v>
      </c>
      <c r="B26" s="333" t="s">
        <v>106</v>
      </c>
      <c r="C26" s="334">
        <v>3528185</v>
      </c>
      <c r="D26" s="429">
        <f t="shared" si="0"/>
        <v>20.5</v>
      </c>
      <c r="E26" s="334">
        <v>2483413</v>
      </c>
      <c r="F26" s="429">
        <f t="shared" si="1"/>
        <v>15.1</v>
      </c>
      <c r="G26" s="334">
        <v>2315732</v>
      </c>
      <c r="H26" s="429">
        <f t="shared" si="2"/>
        <v>15.1</v>
      </c>
      <c r="I26" s="334">
        <v>2315952</v>
      </c>
      <c r="J26" s="429">
        <f t="shared" si="3"/>
        <v>15</v>
      </c>
      <c r="K26" s="334">
        <v>3088449</v>
      </c>
      <c r="L26" s="429">
        <f t="shared" si="2"/>
        <v>15.4</v>
      </c>
      <c r="M26" s="334">
        <v>2963171</v>
      </c>
      <c r="N26" s="429">
        <f t="shared" si="2"/>
        <v>15.3</v>
      </c>
      <c r="O26" s="334">
        <v>2801422</v>
      </c>
      <c r="P26" s="429">
        <f t="shared" si="2"/>
        <v>14.7</v>
      </c>
      <c r="Q26" s="334">
        <v>2907625</v>
      </c>
      <c r="R26" s="429">
        <f t="shared" si="2"/>
        <v>14.8</v>
      </c>
      <c r="S26" s="334">
        <v>3191385</v>
      </c>
      <c r="T26" s="429">
        <f t="shared" si="2"/>
        <v>14.7</v>
      </c>
      <c r="U26" s="334">
        <v>3679407</v>
      </c>
      <c r="V26" s="429">
        <f t="shared" si="2"/>
        <v>15.7</v>
      </c>
      <c r="W26" s="334">
        <v>3180707</v>
      </c>
      <c r="X26" s="429">
        <f t="shared" si="2"/>
        <v>14.3</v>
      </c>
      <c r="Y26" s="334">
        <v>3940688</v>
      </c>
      <c r="Z26" s="429">
        <f t="shared" si="2"/>
        <v>18.5</v>
      </c>
      <c r="AA26" s="334">
        <v>4833162</v>
      </c>
      <c r="AB26" s="429">
        <f t="shared" si="2"/>
        <v>22.9</v>
      </c>
      <c r="AC26" s="334">
        <v>4704399</v>
      </c>
      <c r="AD26" s="429">
        <f t="shared" si="2"/>
        <v>25.1</v>
      </c>
      <c r="AE26" s="334">
        <v>3753007</v>
      </c>
      <c r="AF26" s="429">
        <f t="shared" si="2"/>
        <v>19.600000000000001</v>
      </c>
      <c r="AG26" s="334">
        <v>4520439</v>
      </c>
      <c r="AH26" s="429">
        <f t="shared" si="2"/>
        <v>18.3</v>
      </c>
      <c r="AI26" s="334">
        <v>4187144</v>
      </c>
      <c r="AJ26" s="429">
        <f t="shared" si="2"/>
        <v>16.600000000000001</v>
      </c>
      <c r="AK26" s="334">
        <v>4083664</v>
      </c>
      <c r="AL26" s="429">
        <f t="shared" si="2"/>
        <v>15.1</v>
      </c>
      <c r="AM26" s="334">
        <v>3123485</v>
      </c>
      <c r="AN26" s="429">
        <f t="shared" si="2"/>
        <v>15</v>
      </c>
      <c r="AO26" s="334">
        <v>2322403</v>
      </c>
      <c r="AP26" s="429">
        <f t="shared" si="4"/>
        <v>13.6</v>
      </c>
      <c r="AQ26" s="334">
        <v>2363338</v>
      </c>
      <c r="AR26" s="429">
        <f t="shared" si="5"/>
        <v>11.2</v>
      </c>
      <c r="AS26" s="334">
        <v>4191086</v>
      </c>
      <c r="AT26" s="429">
        <f t="shared" si="6"/>
        <v>11</v>
      </c>
      <c r="AU26" s="334">
        <v>2384090</v>
      </c>
      <c r="AV26" s="429">
        <f t="shared" si="7"/>
        <v>9.5</v>
      </c>
      <c r="AW26" s="334">
        <v>1260808</v>
      </c>
      <c r="AX26" s="429">
        <f t="shared" si="8"/>
        <v>7.1</v>
      </c>
      <c r="AY26" s="334">
        <v>603260</v>
      </c>
      <c r="AZ26" s="429">
        <f t="shared" si="9"/>
        <v>5.3</v>
      </c>
      <c r="BA26" s="334">
        <v>191864</v>
      </c>
      <c r="BB26" s="429">
        <f t="shared" si="10"/>
        <v>5</v>
      </c>
      <c r="BC26" s="38">
        <v>40482</v>
      </c>
      <c r="BD26" s="429">
        <f t="shared" si="11"/>
        <v>3</v>
      </c>
    </row>
    <row r="27" spans="1:56" s="255" customFormat="1" ht="20.149999999999999" customHeight="1" thickBot="1" x14ac:dyDescent="0.6">
      <c r="A27" s="339">
        <v>8</v>
      </c>
      <c r="B27" s="340" t="s">
        <v>107</v>
      </c>
      <c r="C27" s="341">
        <v>1183421</v>
      </c>
      <c r="D27" s="430">
        <f t="shared" si="0"/>
        <v>6.9</v>
      </c>
      <c r="E27" s="341">
        <v>1066228</v>
      </c>
      <c r="F27" s="430">
        <f t="shared" si="1"/>
        <v>6.5</v>
      </c>
      <c r="G27" s="341">
        <v>1073003</v>
      </c>
      <c r="H27" s="430">
        <f t="shared" si="2"/>
        <v>7</v>
      </c>
      <c r="I27" s="341">
        <v>1230226</v>
      </c>
      <c r="J27" s="430">
        <f t="shared" si="3"/>
        <v>8</v>
      </c>
      <c r="K27" s="341">
        <v>1477415</v>
      </c>
      <c r="L27" s="430">
        <f t="shared" si="2"/>
        <v>7.3</v>
      </c>
      <c r="M27" s="341">
        <v>1595809</v>
      </c>
      <c r="N27" s="430">
        <f t="shared" si="2"/>
        <v>8.1999999999999993</v>
      </c>
      <c r="O27" s="341">
        <v>2080479</v>
      </c>
      <c r="P27" s="430">
        <f t="shared" si="2"/>
        <v>10.9</v>
      </c>
      <c r="Q27" s="341">
        <v>1299748</v>
      </c>
      <c r="R27" s="430">
        <f t="shared" si="2"/>
        <v>6.6</v>
      </c>
      <c r="S27" s="341">
        <v>1382622</v>
      </c>
      <c r="T27" s="430">
        <f t="shared" si="2"/>
        <v>6.4</v>
      </c>
      <c r="U27" s="341">
        <v>1569280</v>
      </c>
      <c r="V27" s="430">
        <f t="shared" si="2"/>
        <v>6.7</v>
      </c>
      <c r="W27" s="341">
        <v>1320905</v>
      </c>
      <c r="X27" s="430">
        <f t="shared" si="2"/>
        <v>5.9</v>
      </c>
      <c r="Y27" s="341">
        <v>1486276</v>
      </c>
      <c r="Z27" s="430">
        <f t="shared" si="2"/>
        <v>7</v>
      </c>
      <c r="AA27" s="341">
        <v>1408398</v>
      </c>
      <c r="AB27" s="430">
        <f t="shared" si="2"/>
        <v>6.7</v>
      </c>
      <c r="AC27" s="341">
        <v>1137199</v>
      </c>
      <c r="AD27" s="430">
        <f t="shared" si="2"/>
        <v>6.1</v>
      </c>
      <c r="AE27" s="341">
        <v>1308784</v>
      </c>
      <c r="AF27" s="430">
        <f t="shared" si="2"/>
        <v>6.8</v>
      </c>
      <c r="AG27" s="341">
        <v>1803754</v>
      </c>
      <c r="AH27" s="430">
        <f t="shared" si="2"/>
        <v>7.3</v>
      </c>
      <c r="AI27" s="341">
        <v>1693885</v>
      </c>
      <c r="AJ27" s="430">
        <f t="shared" si="2"/>
        <v>6.7</v>
      </c>
      <c r="AK27" s="341">
        <v>1702338</v>
      </c>
      <c r="AL27" s="430">
        <f t="shared" si="2"/>
        <v>6.3</v>
      </c>
      <c r="AM27" s="341">
        <v>1182557</v>
      </c>
      <c r="AN27" s="430">
        <f t="shared" ref="AN27" si="12">ROUND(AM27/AM$28*100,1)</f>
        <v>5.7</v>
      </c>
      <c r="AO27" s="341">
        <v>1048329</v>
      </c>
      <c r="AP27" s="430">
        <f t="shared" si="4"/>
        <v>6.1</v>
      </c>
      <c r="AQ27" s="341">
        <v>1317020</v>
      </c>
      <c r="AR27" s="430">
        <f t="shared" si="5"/>
        <v>6.2</v>
      </c>
      <c r="AS27" s="341">
        <v>2834079</v>
      </c>
      <c r="AT27" s="430">
        <f t="shared" si="6"/>
        <v>7.5</v>
      </c>
      <c r="AU27" s="341">
        <v>862882</v>
      </c>
      <c r="AV27" s="430">
        <f t="shared" si="7"/>
        <v>3.4</v>
      </c>
      <c r="AW27" s="341">
        <v>92671</v>
      </c>
      <c r="AX27" s="430">
        <f t="shared" si="8"/>
        <v>0.5</v>
      </c>
      <c r="AY27" s="341">
        <v>279771</v>
      </c>
      <c r="AZ27" s="430">
        <f t="shared" si="9"/>
        <v>2.4</v>
      </c>
      <c r="BA27" s="341">
        <v>73281</v>
      </c>
      <c r="BB27" s="430">
        <f t="shared" si="10"/>
        <v>1.9</v>
      </c>
      <c r="BC27" s="342">
        <v>84094</v>
      </c>
      <c r="BD27" s="430">
        <f t="shared" si="11"/>
        <v>6.2</v>
      </c>
    </row>
    <row r="28" spans="1:56" s="255" customFormat="1" ht="20.149999999999999" customHeight="1" thickTop="1" x14ac:dyDescent="0.55000000000000004">
      <c r="A28" s="348"/>
      <c r="B28" s="349" t="s">
        <v>113</v>
      </c>
      <c r="C28" s="343">
        <f>C11+C12+C22+C23+C24+C25+C26+C27</f>
        <v>17185749</v>
      </c>
      <c r="D28" s="431" t="s">
        <v>436</v>
      </c>
      <c r="E28" s="343">
        <f>E11+E12+E22+E23+E24+E25+E26+E27</f>
        <v>16422380</v>
      </c>
      <c r="F28" s="431" t="s">
        <v>436</v>
      </c>
      <c r="G28" s="343">
        <f>G11+G12+G22+G23+G24+G25+G26+G27</f>
        <v>15357470</v>
      </c>
      <c r="H28" s="431" t="s">
        <v>436</v>
      </c>
      <c r="I28" s="343">
        <f>I11+I12+I22+I23+I24+I25+I26+I27</f>
        <v>15431212</v>
      </c>
      <c r="J28" s="431" t="s">
        <v>436</v>
      </c>
      <c r="K28" s="343">
        <f>K11+K12+K22+K23+K24+K25+K26+K27</f>
        <v>20110726</v>
      </c>
      <c r="L28" s="431" t="s">
        <v>436</v>
      </c>
      <c r="M28" s="343">
        <f>M11+M12+M22+M23+M24+M25+M26+M27</f>
        <v>19388060</v>
      </c>
      <c r="N28" s="431" t="s">
        <v>436</v>
      </c>
      <c r="O28" s="343">
        <f>O11+O12+O22+O23+O24+O25+O26+O27</f>
        <v>19032243</v>
      </c>
      <c r="P28" s="431" t="s">
        <v>436</v>
      </c>
      <c r="Q28" s="343">
        <f>Q11+Q12+Q22+Q23+Q24+Q25+Q26+Q27</f>
        <v>19591559</v>
      </c>
      <c r="R28" s="431" t="s">
        <v>436</v>
      </c>
      <c r="S28" s="343">
        <f>S11+S12+S22+S23+S24+S25+S26+S27</f>
        <v>21691565</v>
      </c>
      <c r="T28" s="424" t="s">
        <v>436</v>
      </c>
      <c r="U28" s="343">
        <f>U11+U12+U22+U23+U24+U25+U26+U27</f>
        <v>23485285</v>
      </c>
      <c r="V28" s="431" t="s">
        <v>436</v>
      </c>
      <c r="W28" s="343">
        <f>W11+W12+W22+W23+W24+W25+W26+W27</f>
        <v>22306853</v>
      </c>
      <c r="X28" s="431" t="s">
        <v>436</v>
      </c>
      <c r="Y28" s="343">
        <f>Y11+Y12+Y22+Y23+Y24+Y25+Y26+Y27</f>
        <v>21267239</v>
      </c>
      <c r="Z28" s="431" t="s">
        <v>436</v>
      </c>
      <c r="AA28" s="343">
        <f>AA11+AA12+AA22+AA23+AA24+AA25+AA26+AA27</f>
        <v>21116227</v>
      </c>
      <c r="AB28" s="431" t="s">
        <v>436</v>
      </c>
      <c r="AC28" s="343">
        <f>AC11+AC12+AC22+AC23+AC24+AC25+AC26+AC27</f>
        <v>18778320</v>
      </c>
      <c r="AD28" s="431" t="s">
        <v>436</v>
      </c>
      <c r="AE28" s="343">
        <f>AE11+AE12+AE22+AE23+AE24+AE25+AE26+AE27</f>
        <v>19151043</v>
      </c>
      <c r="AF28" s="431" t="s">
        <v>436</v>
      </c>
      <c r="AG28" s="343">
        <f>AG11+AG12+AG22+AG23+AG24+AG25+AG26+AG27</f>
        <v>24716591</v>
      </c>
      <c r="AH28" s="431" t="s">
        <v>436</v>
      </c>
      <c r="AI28" s="343">
        <f>AI11+AI12+AI22+AI23+AI24+AI25+AI26+AI27</f>
        <v>25250230</v>
      </c>
      <c r="AJ28" s="431" t="s">
        <v>436</v>
      </c>
      <c r="AK28" s="343">
        <f>AK11+AK12+AK22+AK23+AK24+AK25+AK26+AK27</f>
        <v>27012625</v>
      </c>
      <c r="AL28" s="431" t="s">
        <v>436</v>
      </c>
      <c r="AM28" s="343">
        <f>AM11+AM12+AM22+AM23+AM24+AM25+AM26+AM27</f>
        <v>20806714</v>
      </c>
      <c r="AN28" s="431" t="s">
        <v>436</v>
      </c>
      <c r="AO28" s="343">
        <f>AO11+AO12+AO22+AO23+AO24+AO25+AO26+AO27</f>
        <v>17065703</v>
      </c>
      <c r="AP28" s="424" t="s">
        <v>436</v>
      </c>
      <c r="AQ28" s="343">
        <f>AQ11+AQ12+AQ22+AQ23+AQ24+AQ25+AQ26+AQ27</f>
        <v>21123548</v>
      </c>
      <c r="AR28" s="431" t="s">
        <v>436</v>
      </c>
      <c r="AS28" s="343">
        <f>AS11+AS12+AS22+AS23+AS24+AS25+AS26+AS27</f>
        <v>37934444</v>
      </c>
      <c r="AT28" s="431" t="s">
        <v>436</v>
      </c>
      <c r="AU28" s="343">
        <f t="shared" ref="AU28:BC28" si="13">AU11+AU12+AU22+AU23+AU24+AU25+AU26+AU27</f>
        <v>25061991</v>
      </c>
      <c r="AV28" s="431" t="s">
        <v>436</v>
      </c>
      <c r="AW28" s="343">
        <f t="shared" si="13"/>
        <v>17754580</v>
      </c>
      <c r="AX28" s="431" t="s">
        <v>436</v>
      </c>
      <c r="AY28" s="343">
        <f t="shared" si="13"/>
        <v>11479988</v>
      </c>
      <c r="AZ28" s="431" t="s">
        <v>436</v>
      </c>
      <c r="BA28" s="343">
        <f t="shared" si="13"/>
        <v>3865691</v>
      </c>
      <c r="BB28" s="431" t="s">
        <v>436</v>
      </c>
      <c r="BC28" s="344">
        <f t="shared" si="13"/>
        <v>1349607</v>
      </c>
      <c r="BD28" s="425" t="s">
        <v>436</v>
      </c>
    </row>
    <row r="29" spans="1:56" ht="18" customHeight="1" x14ac:dyDescent="0.35">
      <c r="C29" s="4"/>
      <c r="D29" s="4"/>
      <c r="E29" s="4"/>
      <c r="F29" s="4"/>
      <c r="G29" s="4"/>
      <c r="H29" s="4"/>
      <c r="I29" s="37"/>
      <c r="J29" s="37"/>
      <c r="K29" s="33"/>
      <c r="L29" s="33"/>
      <c r="M29" s="33"/>
      <c r="N29" s="33"/>
      <c r="O29" s="33"/>
      <c r="P29" s="33"/>
      <c r="Q29" s="33"/>
      <c r="R29" s="33"/>
      <c r="S29" s="33"/>
      <c r="T29" s="33"/>
      <c r="U29" s="33"/>
      <c r="V29" s="33"/>
      <c r="W29" s="33"/>
      <c r="X29" s="33"/>
    </row>
    <row r="30" spans="1:56" ht="18" customHeight="1" x14ac:dyDescent="0.35">
      <c r="C30" s="4"/>
      <c r="D30" s="4"/>
      <c r="E30" s="4"/>
      <c r="F30" s="4"/>
      <c r="G30" s="4"/>
      <c r="H30" s="4"/>
      <c r="I30" s="37"/>
      <c r="J30" s="37"/>
      <c r="K30" s="33"/>
      <c r="L30" s="33"/>
      <c r="M30" s="33"/>
      <c r="N30" s="33"/>
      <c r="O30" s="33"/>
      <c r="P30" s="33"/>
      <c r="Q30" s="33"/>
      <c r="R30" s="33"/>
      <c r="S30" s="33"/>
      <c r="T30" s="33"/>
      <c r="U30" s="33"/>
      <c r="V30" s="33"/>
      <c r="W30" s="33"/>
      <c r="X30" s="33"/>
    </row>
    <row r="31" spans="1:56" ht="18" customHeight="1" x14ac:dyDescent="0.35">
      <c r="C31" s="4"/>
      <c r="D31" s="4"/>
      <c r="E31" s="4"/>
      <c r="F31" s="4"/>
      <c r="G31" s="4"/>
      <c r="H31" s="4"/>
      <c r="I31" s="37"/>
      <c r="J31" s="37"/>
      <c r="K31" s="33"/>
      <c r="L31" s="33"/>
      <c r="M31" s="33"/>
      <c r="N31" s="33"/>
      <c r="O31" s="33"/>
      <c r="P31" s="33"/>
      <c r="Q31" s="33"/>
      <c r="R31" s="33"/>
      <c r="S31" s="33"/>
      <c r="T31" s="33"/>
      <c r="U31" s="33"/>
      <c r="V31" s="33"/>
      <c r="W31" s="33"/>
      <c r="X31" s="33"/>
    </row>
    <row r="32" spans="1:56" ht="18" customHeight="1" x14ac:dyDescent="0.35">
      <c r="C32" s="4"/>
      <c r="E32" s="4"/>
      <c r="G32" s="4"/>
      <c r="I32" s="37"/>
      <c r="J32" s="3"/>
      <c r="K32" s="33"/>
      <c r="M32" s="33"/>
      <c r="O32" s="33"/>
      <c r="Q32" s="33"/>
      <c r="S32" s="33"/>
      <c r="U32" s="33"/>
      <c r="W32" s="33"/>
    </row>
    <row r="33" spans="3:23" x14ac:dyDescent="0.35">
      <c r="C33" s="4"/>
      <c r="E33" s="4"/>
      <c r="G33" s="4"/>
      <c r="I33" s="37"/>
      <c r="J33" s="3"/>
      <c r="K33" s="33"/>
      <c r="M33" s="33"/>
      <c r="O33" s="33"/>
      <c r="Q33" s="33"/>
      <c r="S33" s="33"/>
      <c r="U33" s="33"/>
      <c r="W33" s="33"/>
    </row>
    <row r="34" spans="3:23" x14ac:dyDescent="0.35">
      <c r="C34" s="4"/>
      <c r="E34" s="4"/>
      <c r="G34" s="4"/>
      <c r="I34" s="37"/>
      <c r="J34" s="3"/>
      <c r="K34" s="33"/>
      <c r="M34" s="33"/>
      <c r="O34" s="33"/>
      <c r="Q34" s="33"/>
      <c r="S34" s="33"/>
      <c r="U34" s="33"/>
      <c r="W34" s="33"/>
    </row>
    <row r="35" spans="3:23" x14ac:dyDescent="0.35">
      <c r="C35" s="4"/>
      <c r="E35" s="4"/>
      <c r="G35" s="4"/>
      <c r="I35" s="37"/>
      <c r="J35" s="3"/>
      <c r="K35" s="33"/>
      <c r="M35" s="33"/>
      <c r="O35" s="33"/>
      <c r="Q35" s="33"/>
      <c r="S35" s="33"/>
      <c r="U35" s="33"/>
      <c r="W35" s="33"/>
    </row>
    <row r="36" spans="3:23" x14ac:dyDescent="0.35">
      <c r="I36" s="3"/>
      <c r="J36" s="3"/>
    </row>
    <row r="37" spans="3:23" x14ac:dyDescent="0.35">
      <c r="I37" s="3"/>
      <c r="J37" s="3"/>
    </row>
    <row r="38" spans="3:23" x14ac:dyDescent="0.35">
      <c r="I38" s="3"/>
      <c r="J38" s="3"/>
    </row>
    <row r="39" spans="3:23" x14ac:dyDescent="0.35">
      <c r="I39" s="3"/>
      <c r="J39" s="3"/>
    </row>
    <row r="40" spans="3:23" x14ac:dyDescent="0.35">
      <c r="I40" s="3"/>
      <c r="J40" s="3"/>
    </row>
    <row r="41" spans="3:23" x14ac:dyDescent="0.35">
      <c r="I41" s="3"/>
      <c r="J41" s="3"/>
    </row>
    <row r="42" spans="3:23" x14ac:dyDescent="0.35">
      <c r="I42" s="3"/>
      <c r="J42" s="3"/>
    </row>
    <row r="43" spans="3:23" x14ac:dyDescent="0.35">
      <c r="I43" s="3"/>
      <c r="J43" s="3"/>
    </row>
    <row r="44" spans="3:23" x14ac:dyDescent="0.35">
      <c r="I44" s="3"/>
      <c r="J44" s="3"/>
    </row>
    <row r="45" spans="3:23" x14ac:dyDescent="0.35">
      <c r="I45" s="3"/>
      <c r="J45" s="3"/>
    </row>
    <row r="46" spans="3:23" x14ac:dyDescent="0.35">
      <c r="I46" s="3"/>
      <c r="J46" s="3"/>
    </row>
    <row r="47" spans="3:23" x14ac:dyDescent="0.35">
      <c r="I47" s="3"/>
      <c r="J47" s="3"/>
    </row>
    <row r="48" spans="3:23" x14ac:dyDescent="0.35">
      <c r="I48" s="3"/>
      <c r="J48" s="3"/>
    </row>
    <row r="49" spans="9:10" x14ac:dyDescent="0.35">
      <c r="I49" s="3"/>
      <c r="J49" s="3"/>
    </row>
    <row r="50" spans="9:10" x14ac:dyDescent="0.35">
      <c r="I50" s="3"/>
      <c r="J50" s="3"/>
    </row>
    <row r="51" spans="9:10" x14ac:dyDescent="0.35">
      <c r="I51" s="3"/>
      <c r="J51" s="3"/>
    </row>
    <row r="52" spans="9:10" x14ac:dyDescent="0.35">
      <c r="I52" s="3"/>
      <c r="J52" s="3"/>
    </row>
    <row r="53" spans="9:10" x14ac:dyDescent="0.35">
      <c r="I53" s="3"/>
      <c r="J53" s="3"/>
    </row>
    <row r="54" spans="9:10" x14ac:dyDescent="0.35">
      <c r="I54" s="3"/>
      <c r="J54" s="3"/>
    </row>
    <row r="55" spans="9:10" x14ac:dyDescent="0.35">
      <c r="I55" s="3"/>
      <c r="J55" s="3"/>
    </row>
    <row r="56" spans="9:10" x14ac:dyDescent="0.35">
      <c r="I56" s="3"/>
      <c r="J56" s="3"/>
    </row>
    <row r="57" spans="9:10" x14ac:dyDescent="0.35">
      <c r="I57" s="3"/>
      <c r="J57" s="3"/>
    </row>
    <row r="58" spans="9:10" hidden="1" x14ac:dyDescent="0.35">
      <c r="I58" s="3"/>
      <c r="J58" s="3"/>
    </row>
    <row r="59" spans="9:10" hidden="1" x14ac:dyDescent="0.35">
      <c r="I59" s="3"/>
      <c r="J59" s="3"/>
    </row>
    <row r="60" spans="9:10" hidden="1" x14ac:dyDescent="0.35">
      <c r="I60" s="3"/>
      <c r="J60" s="3"/>
    </row>
    <row r="61" spans="9:10" hidden="1" x14ac:dyDescent="0.35">
      <c r="I61" s="3"/>
      <c r="J61" s="3"/>
    </row>
    <row r="62" spans="9:10" hidden="1" x14ac:dyDescent="0.35">
      <c r="I62" s="3"/>
      <c r="J62" s="3"/>
    </row>
    <row r="63" spans="9:10" hidden="1" x14ac:dyDescent="0.35">
      <c r="I63" s="3"/>
      <c r="J63" s="3"/>
    </row>
    <row r="64" spans="9:10" hidden="1" x14ac:dyDescent="0.35">
      <c r="I64" s="3"/>
      <c r="J64" s="3"/>
    </row>
    <row r="65" spans="9:10" hidden="1" x14ac:dyDescent="0.35">
      <c r="I65" s="3"/>
      <c r="J65" s="3"/>
    </row>
    <row r="66" spans="9:10" hidden="1" x14ac:dyDescent="0.35">
      <c r="I66" s="3"/>
      <c r="J66" s="3"/>
    </row>
    <row r="67" spans="9:10" x14ac:dyDescent="0.35">
      <c r="I67" s="3"/>
      <c r="J67" s="3"/>
    </row>
    <row r="68" spans="9:10" x14ac:dyDescent="0.35">
      <c r="I68" s="3"/>
      <c r="J68" s="3"/>
    </row>
    <row r="69" spans="9:10" hidden="1" x14ac:dyDescent="0.35">
      <c r="I69" s="3"/>
      <c r="J69" s="3"/>
    </row>
    <row r="70" spans="9:10" hidden="1" x14ac:dyDescent="0.35">
      <c r="I70" s="3"/>
      <c r="J70" s="3"/>
    </row>
    <row r="71" spans="9:10" hidden="1" x14ac:dyDescent="0.35">
      <c r="I71" s="3"/>
      <c r="J71" s="3"/>
    </row>
    <row r="72" spans="9:10" hidden="1" x14ac:dyDescent="0.35">
      <c r="I72" s="3"/>
      <c r="J72" s="3"/>
    </row>
    <row r="73" spans="9:10" hidden="1" x14ac:dyDescent="0.35">
      <c r="I73" s="3"/>
      <c r="J73" s="3"/>
    </row>
    <row r="74" spans="9:10" hidden="1" x14ac:dyDescent="0.35">
      <c r="I74" s="3"/>
      <c r="J74" s="3"/>
    </row>
    <row r="75" spans="9:10" hidden="1" x14ac:dyDescent="0.35">
      <c r="I75" s="3"/>
      <c r="J75" s="3"/>
    </row>
    <row r="76" spans="9:10" hidden="1" x14ac:dyDescent="0.35">
      <c r="I76" s="3"/>
      <c r="J76" s="3"/>
    </row>
    <row r="77" spans="9:10" hidden="1" x14ac:dyDescent="0.35">
      <c r="I77" s="3"/>
      <c r="J77" s="3"/>
    </row>
    <row r="78" spans="9:10" x14ac:dyDescent="0.35">
      <c r="I78" s="3"/>
    </row>
    <row r="79" spans="9:10" x14ac:dyDescent="0.35">
      <c r="I79" s="3"/>
    </row>
    <row r="80" spans="9:10" x14ac:dyDescent="0.35">
      <c r="I80" s="3"/>
    </row>
    <row r="81" spans="9:9" x14ac:dyDescent="0.35">
      <c r="I81" s="3"/>
    </row>
  </sheetData>
  <customSheetViews>
    <customSheetView guid="{501209ED-4B79-4E52-B95E-748E5E77E24F}" scale="85" hiddenRows="1">
      <pane xSplit="2" ySplit="10" topLeftCell="C11" activePane="bottomRight" state="frozen"/>
      <selection pane="bottomRight" activeCell="J18" sqref="J18"/>
      <colBreaks count="2" manualBreakCount="2">
        <brk id="18" max="1048575" man="1"/>
        <brk id="34" max="1048575" man="1"/>
      </colBreaks>
      <pageMargins left="0.59055118110236227" right="0.59055118110236227" top="0.59055118110236227" bottom="0.59055118110236227" header="0.31496062992125984" footer="0.31496062992125984"/>
      <printOptions horizontalCentered="1"/>
      <pageSetup paperSize="9" scale="54" orientation="portrait" r:id="rId1"/>
    </customSheetView>
  </customSheetViews>
  <mergeCells count="27">
    <mergeCell ref="C9:D9"/>
    <mergeCell ref="AG9:AH9"/>
    <mergeCell ref="BC9:BD9"/>
    <mergeCell ref="BA9:BB9"/>
    <mergeCell ref="AY9:AZ9"/>
    <mergeCell ref="AW9:AX9"/>
    <mergeCell ref="AU9:AV9"/>
    <mergeCell ref="AS9:AT9"/>
    <mergeCell ref="AQ9:AR9"/>
    <mergeCell ref="AO9:AP9"/>
    <mergeCell ref="AM9:AN9"/>
    <mergeCell ref="AK9:AL9"/>
    <mergeCell ref="AI9:AJ9"/>
    <mergeCell ref="E9:F9"/>
    <mergeCell ref="G9:H9"/>
    <mergeCell ref="AE9:AF9"/>
    <mergeCell ref="AC9:AD9"/>
    <mergeCell ref="AA9:AB9"/>
    <mergeCell ref="Y9:Z9"/>
    <mergeCell ref="W9:X9"/>
    <mergeCell ref="U9:V9"/>
    <mergeCell ref="I9:J9"/>
    <mergeCell ref="S9:T9"/>
    <mergeCell ref="Q9:R9"/>
    <mergeCell ref="O9:P9"/>
    <mergeCell ref="M9:N9"/>
    <mergeCell ref="K9:L9"/>
  </mergeCells>
  <phoneticPr fontId="1"/>
  <conditionalFormatting sqref="E11:F27">
    <cfRule type="containsBlanks" dxfId="409" priority="2">
      <formula>LEN(TRIM(E11))=0</formula>
    </cfRule>
  </conditionalFormatting>
  <conditionalFormatting sqref="C11:D27">
    <cfRule type="containsBlanks" dxfId="408" priority="1">
      <formula>LEN(TRIM(C11))=0</formula>
    </cfRule>
  </conditionalFormatting>
  <hyperlinks>
    <hyperlink ref="A1:B1" location="目次!A1" display="目次へ戻る"/>
  </hyperlinks>
  <printOptions horizontalCentered="1"/>
  <pageMargins left="0.59055118110236227" right="0.59055118110236227" top="0.59055118110236227" bottom="0.59055118110236227" header="0.31496062992125984" footer="0.31496062992125984"/>
  <pageSetup paperSize="9" scale="54" orientation="portrait" r:id="rId2"/>
  <colBreaks count="2" manualBreakCount="2">
    <brk id="18" max="1048575" man="1"/>
    <brk id="3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Normal="100" workbookViewId="0">
      <pane xSplit="1" ySplit="11" topLeftCell="B12" activePane="bottomRight" state="frozen"/>
      <selection pane="topRight" activeCell="B1" sqref="B1"/>
      <selection pane="bottomLeft" activeCell="A12" sqref="A12"/>
      <selection pane="bottomRight"/>
    </sheetView>
  </sheetViews>
  <sheetFormatPr defaultColWidth="8.58203125" defaultRowHeight="14.5" x14ac:dyDescent="0.35"/>
  <cols>
    <col min="1" max="1" width="10.33203125" style="1" bestFit="1" customWidth="1"/>
    <col min="2" max="2" width="8.58203125" style="1" customWidth="1"/>
    <col min="3" max="4" width="8.58203125" style="2" customWidth="1"/>
    <col min="5" max="5" width="8.58203125" style="4" customWidth="1"/>
    <col min="6" max="10" width="8.58203125" style="1" customWidth="1"/>
    <col min="11" max="12" width="10.33203125" style="1" bestFit="1" customWidth="1"/>
    <col min="13" max="13" width="10.33203125" style="1" customWidth="1"/>
    <col min="14" max="15" width="10.08203125" style="1" customWidth="1"/>
    <col min="16" max="30" width="10.83203125" style="1" bestFit="1" customWidth="1"/>
    <col min="31" max="32" width="10.33203125" style="1" bestFit="1" customWidth="1"/>
    <col min="33" max="16384" width="8.58203125" style="1"/>
  </cols>
  <sheetData>
    <row r="1" spans="1:31" x14ac:dyDescent="0.35">
      <c r="A1" s="432" t="s">
        <v>438</v>
      </c>
    </row>
    <row r="3" spans="1:31" s="253" customFormat="1" ht="20.149999999999999" customHeight="1" x14ac:dyDescent="0.55000000000000004">
      <c r="A3" s="252" t="s">
        <v>120</v>
      </c>
    </row>
    <row r="4" spans="1:31" s="253" customFormat="1" ht="20.149999999999999" customHeight="1" x14ac:dyDescent="0.55000000000000004">
      <c r="A4" s="252" t="s">
        <v>121</v>
      </c>
    </row>
    <row r="5" spans="1:31" s="253" customFormat="1" ht="14.5" customHeight="1" x14ac:dyDescent="0.55000000000000004">
      <c r="A5" s="46"/>
    </row>
    <row r="6" spans="1:31" s="253" customFormat="1" ht="14.5" customHeight="1" x14ac:dyDescent="0.55000000000000004">
      <c r="A6" s="30" t="s">
        <v>122</v>
      </c>
    </row>
    <row r="7" spans="1:31" s="253" customFormat="1" ht="14.5" customHeight="1" x14ac:dyDescent="0.55000000000000004">
      <c r="A7" s="30"/>
    </row>
    <row r="8" spans="1:31" s="253" customFormat="1" ht="14.5" customHeight="1" x14ac:dyDescent="0.55000000000000004">
      <c r="A8" s="22" t="s">
        <v>29</v>
      </c>
    </row>
    <row r="9" spans="1:31" s="253" customFormat="1" ht="17.5" x14ac:dyDescent="0.55000000000000004">
      <c r="A9" s="350"/>
      <c r="B9" s="675" t="s">
        <v>133</v>
      </c>
      <c r="C9" s="675"/>
      <c r="D9" s="675"/>
      <c r="E9" s="675"/>
      <c r="F9" s="675"/>
      <c r="G9" s="675"/>
      <c r="H9" s="675"/>
      <c r="I9" s="675"/>
      <c r="J9" s="675"/>
      <c r="K9" s="675"/>
      <c r="L9" s="675"/>
      <c r="M9" s="675"/>
      <c r="N9" s="675" t="s">
        <v>123</v>
      </c>
      <c r="O9" s="675"/>
    </row>
    <row r="10" spans="1:31" s="22" customFormat="1" ht="20.149999999999999" customHeight="1" x14ac:dyDescent="0.55000000000000004">
      <c r="A10" s="351"/>
      <c r="B10" s="672" t="s">
        <v>128</v>
      </c>
      <c r="C10" s="672"/>
      <c r="D10" s="672"/>
      <c r="E10" s="672" t="s">
        <v>129</v>
      </c>
      <c r="F10" s="672"/>
      <c r="G10" s="672"/>
      <c r="H10" s="672" t="s">
        <v>130</v>
      </c>
      <c r="I10" s="672"/>
      <c r="J10" s="672"/>
      <c r="K10" s="676" t="s">
        <v>135</v>
      </c>
      <c r="L10" s="676" t="s">
        <v>134</v>
      </c>
      <c r="M10" s="672" t="s">
        <v>31</v>
      </c>
      <c r="N10" s="672" t="s">
        <v>125</v>
      </c>
      <c r="O10" s="672" t="s">
        <v>126</v>
      </c>
    </row>
    <row r="11" spans="1:31" s="46" customFormat="1" ht="17.5" x14ac:dyDescent="0.55000000000000004">
      <c r="A11" s="352"/>
      <c r="B11" s="632" t="s">
        <v>131</v>
      </c>
      <c r="C11" s="632" t="s">
        <v>132</v>
      </c>
      <c r="D11" s="632" t="s">
        <v>124</v>
      </c>
      <c r="E11" s="632" t="s">
        <v>131</v>
      </c>
      <c r="F11" s="632" t="s">
        <v>132</v>
      </c>
      <c r="G11" s="632" t="s">
        <v>124</v>
      </c>
      <c r="H11" s="632" t="s">
        <v>131</v>
      </c>
      <c r="I11" s="632" t="s">
        <v>132</v>
      </c>
      <c r="J11" s="365" t="s">
        <v>124</v>
      </c>
      <c r="K11" s="676"/>
      <c r="L11" s="676"/>
      <c r="M11" s="672"/>
      <c r="N11" s="672"/>
      <c r="O11" s="672"/>
      <c r="P11" s="41"/>
      <c r="Q11" s="41"/>
      <c r="R11" s="41"/>
      <c r="S11" s="41"/>
      <c r="T11" s="41"/>
      <c r="U11" s="41"/>
      <c r="V11" s="41"/>
      <c r="W11" s="41"/>
      <c r="X11" s="41"/>
      <c r="Y11" s="41"/>
      <c r="Z11" s="41"/>
      <c r="AA11" s="41"/>
      <c r="AB11" s="41"/>
      <c r="AC11" s="41"/>
      <c r="AD11" s="41"/>
      <c r="AE11" s="41"/>
    </row>
    <row r="12" spans="1:31" s="46" customFormat="1" ht="20.149999999999999" customHeight="1" x14ac:dyDescent="0.55000000000000004">
      <c r="A12" s="637" t="s">
        <v>1127</v>
      </c>
      <c r="B12" s="355">
        <v>283151</v>
      </c>
      <c r="C12" s="356">
        <v>18748</v>
      </c>
      <c r="D12" s="357">
        <f t="shared" ref="D12" si="0">SUM(B12:C12)</f>
        <v>301899</v>
      </c>
      <c r="E12" s="356">
        <v>475580</v>
      </c>
      <c r="F12" s="356">
        <v>24481</v>
      </c>
      <c r="G12" s="357">
        <f t="shared" ref="G12" si="1">SUM(E12:F12)</f>
        <v>500061</v>
      </c>
      <c r="H12" s="356">
        <v>2675</v>
      </c>
      <c r="I12" s="638">
        <v>14757</v>
      </c>
      <c r="J12" s="639">
        <f t="shared" ref="J12" si="2">SUM(H12:I12)</f>
        <v>17432</v>
      </c>
      <c r="K12" s="363">
        <f t="shared" ref="K12" si="3">D12+G12+J12</f>
        <v>819392</v>
      </c>
      <c r="L12" s="363">
        <v>569244</v>
      </c>
      <c r="M12" s="363">
        <f t="shared" ref="M12" si="4">J12+L12</f>
        <v>586676</v>
      </c>
      <c r="N12" s="578">
        <v>15805</v>
      </c>
      <c r="O12" s="193">
        <v>7019</v>
      </c>
      <c r="P12" s="41"/>
      <c r="Q12" s="41"/>
      <c r="R12" s="41"/>
      <c r="S12" s="41"/>
      <c r="T12" s="41"/>
      <c r="U12" s="41"/>
      <c r="V12" s="41"/>
      <c r="W12" s="41"/>
      <c r="X12" s="41"/>
      <c r="Y12" s="41"/>
      <c r="Z12" s="41"/>
      <c r="AA12" s="41"/>
      <c r="AB12" s="41"/>
      <c r="AC12" s="41"/>
      <c r="AD12" s="41"/>
    </row>
    <row r="13" spans="1:31" s="46" customFormat="1" ht="20.149999999999999" customHeight="1" x14ac:dyDescent="0.55000000000000004">
      <c r="A13" s="633" t="s">
        <v>1110</v>
      </c>
      <c r="B13" s="634">
        <v>283757</v>
      </c>
      <c r="C13" s="635">
        <v>18312</v>
      </c>
      <c r="D13" s="636">
        <f t="shared" ref="D13" si="5">SUM(B13:C13)</f>
        <v>302069</v>
      </c>
      <c r="E13" s="635">
        <v>475103</v>
      </c>
      <c r="F13" s="635">
        <v>23841</v>
      </c>
      <c r="G13" s="636">
        <f t="shared" ref="G13" si="6">SUM(E13:F13)</f>
        <v>498944</v>
      </c>
      <c r="H13" s="635">
        <v>2419</v>
      </c>
      <c r="I13" s="635">
        <v>14584</v>
      </c>
      <c r="J13" s="636">
        <f t="shared" ref="J13" si="7">SUM(H13:I13)</f>
        <v>17003</v>
      </c>
      <c r="K13" s="635">
        <f t="shared" ref="K13" si="8">D13+G13+J13</f>
        <v>818016</v>
      </c>
      <c r="L13" s="635">
        <v>569740</v>
      </c>
      <c r="M13" s="635">
        <f t="shared" ref="M13" si="9">J13+L13</f>
        <v>586743</v>
      </c>
      <c r="N13" s="634">
        <v>15762</v>
      </c>
      <c r="O13" s="619">
        <v>7183</v>
      </c>
      <c r="P13" s="41"/>
      <c r="Q13" s="41"/>
      <c r="R13" s="41"/>
      <c r="S13" s="41"/>
      <c r="T13" s="41"/>
      <c r="U13" s="41"/>
      <c r="V13" s="41"/>
      <c r="W13" s="41"/>
      <c r="X13" s="41"/>
      <c r="Y13" s="41"/>
      <c r="Z13" s="41"/>
      <c r="AA13" s="41"/>
      <c r="AB13" s="41"/>
      <c r="AC13" s="41"/>
      <c r="AD13" s="41"/>
    </row>
    <row r="14" spans="1:31" s="46" customFormat="1" ht="20.149999999999999" customHeight="1" x14ac:dyDescent="0.55000000000000004">
      <c r="A14" s="354" t="s">
        <v>1078</v>
      </c>
      <c r="B14" s="355">
        <v>284226</v>
      </c>
      <c r="C14" s="356">
        <v>17768</v>
      </c>
      <c r="D14" s="357">
        <f t="shared" ref="D14" si="10">SUM(B14:C14)</f>
        <v>301994</v>
      </c>
      <c r="E14" s="356">
        <v>473812</v>
      </c>
      <c r="F14" s="356">
        <v>23110</v>
      </c>
      <c r="G14" s="357">
        <f t="shared" ref="G14:G19" si="11">SUM(E14:F14)</f>
        <v>496922</v>
      </c>
      <c r="H14" s="356">
        <v>2239</v>
      </c>
      <c r="I14" s="356">
        <v>14362</v>
      </c>
      <c r="J14" s="357">
        <f t="shared" ref="J14:J19" si="12">SUM(H14:I14)</f>
        <v>16601</v>
      </c>
      <c r="K14" s="356">
        <f t="shared" ref="K14:K19" si="13">D14+G14+J14</f>
        <v>815517</v>
      </c>
      <c r="L14" s="356">
        <v>569498</v>
      </c>
      <c r="M14" s="356">
        <f t="shared" ref="M14:M19" si="14">J14+L14</f>
        <v>586099</v>
      </c>
      <c r="N14" s="355">
        <v>15711</v>
      </c>
      <c r="O14" s="158">
        <v>7412</v>
      </c>
      <c r="P14" s="41"/>
      <c r="Q14" s="41"/>
      <c r="R14" s="41"/>
      <c r="S14" s="41"/>
      <c r="T14" s="41"/>
      <c r="U14" s="41"/>
      <c r="V14" s="41"/>
      <c r="W14" s="41"/>
      <c r="X14" s="41"/>
      <c r="Y14" s="41"/>
      <c r="Z14" s="41"/>
      <c r="AA14" s="41"/>
      <c r="AB14" s="41"/>
      <c r="AC14" s="41"/>
      <c r="AD14" s="41"/>
    </row>
    <row r="15" spans="1:31" s="9" customFormat="1" ht="20.149999999999999" customHeight="1" x14ac:dyDescent="0.55000000000000004">
      <c r="A15" s="531" t="s">
        <v>1079</v>
      </c>
      <c r="B15" s="387">
        <v>284050</v>
      </c>
      <c r="C15" s="366">
        <v>17344</v>
      </c>
      <c r="D15" s="532">
        <f t="shared" ref="D15:D19" si="15">SUM(B15:C15)</f>
        <v>301394</v>
      </c>
      <c r="E15" s="366">
        <v>471850</v>
      </c>
      <c r="F15" s="366">
        <v>20240</v>
      </c>
      <c r="G15" s="532">
        <f t="shared" si="11"/>
        <v>492090</v>
      </c>
      <c r="H15" s="366">
        <v>2090</v>
      </c>
      <c r="I15" s="366">
        <v>12577</v>
      </c>
      <c r="J15" s="532">
        <f t="shared" si="12"/>
        <v>14667</v>
      </c>
      <c r="K15" s="366">
        <f t="shared" si="13"/>
        <v>808151</v>
      </c>
      <c r="L15" s="366">
        <v>568126</v>
      </c>
      <c r="M15" s="366">
        <f t="shared" si="14"/>
        <v>582793</v>
      </c>
      <c r="N15" s="387">
        <v>15714</v>
      </c>
      <c r="O15" s="157">
        <v>10007</v>
      </c>
      <c r="P15" s="40"/>
      <c r="Q15" s="40"/>
      <c r="R15" s="40"/>
      <c r="S15" s="40"/>
      <c r="T15" s="40"/>
      <c r="U15" s="40"/>
      <c r="V15" s="40"/>
      <c r="W15" s="40"/>
      <c r="X15" s="40"/>
      <c r="Y15" s="40"/>
      <c r="Z15" s="40"/>
      <c r="AA15" s="40"/>
      <c r="AB15" s="40"/>
      <c r="AC15" s="40"/>
      <c r="AD15" s="40"/>
      <c r="AE15" s="22"/>
    </row>
    <row r="16" spans="1:31" s="9" customFormat="1" ht="20.149999999999999" customHeight="1" x14ac:dyDescent="0.55000000000000004">
      <c r="A16" s="354" t="s">
        <v>1</v>
      </c>
      <c r="B16" s="355">
        <v>283632</v>
      </c>
      <c r="C16" s="356">
        <v>17028</v>
      </c>
      <c r="D16" s="357">
        <f t="shared" si="15"/>
        <v>300660</v>
      </c>
      <c r="E16" s="356">
        <v>469789</v>
      </c>
      <c r="F16" s="356">
        <v>21860</v>
      </c>
      <c r="G16" s="357">
        <f t="shared" si="11"/>
        <v>491649</v>
      </c>
      <c r="H16" s="356">
        <v>2333</v>
      </c>
      <c r="I16" s="356">
        <v>14168</v>
      </c>
      <c r="J16" s="357">
        <f t="shared" si="12"/>
        <v>16501</v>
      </c>
      <c r="K16" s="356">
        <f t="shared" si="13"/>
        <v>808810</v>
      </c>
      <c r="L16" s="356">
        <v>566726</v>
      </c>
      <c r="M16" s="356">
        <f t="shared" si="14"/>
        <v>583227</v>
      </c>
      <c r="N16" s="355">
        <v>15535</v>
      </c>
      <c r="O16" s="158">
        <v>7738</v>
      </c>
      <c r="P16" s="40"/>
      <c r="Q16" s="40"/>
      <c r="R16" s="40"/>
      <c r="S16" s="40"/>
      <c r="T16" s="40"/>
      <c r="U16" s="40"/>
      <c r="V16" s="40"/>
      <c r="W16" s="40"/>
      <c r="X16" s="40"/>
      <c r="Y16" s="40"/>
      <c r="Z16" s="40"/>
      <c r="AA16" s="40"/>
      <c r="AB16" s="40"/>
      <c r="AC16" s="40"/>
      <c r="AD16" s="40"/>
      <c r="AE16" s="22"/>
    </row>
    <row r="17" spans="1:32" s="9" customFormat="1" ht="20.149999999999999" customHeight="1" x14ac:dyDescent="0.55000000000000004">
      <c r="A17" s="354" t="s">
        <v>127</v>
      </c>
      <c r="B17" s="355">
        <v>283555</v>
      </c>
      <c r="C17" s="356">
        <v>16615</v>
      </c>
      <c r="D17" s="357">
        <f t="shared" si="15"/>
        <v>300170</v>
      </c>
      <c r="E17" s="356">
        <v>467721</v>
      </c>
      <c r="F17" s="356">
        <v>21425</v>
      </c>
      <c r="G17" s="357">
        <f t="shared" si="11"/>
        <v>489146</v>
      </c>
      <c r="H17" s="356">
        <v>2435</v>
      </c>
      <c r="I17" s="356">
        <v>14263</v>
      </c>
      <c r="J17" s="357">
        <f t="shared" si="12"/>
        <v>16698</v>
      </c>
      <c r="K17" s="356">
        <f t="shared" si="13"/>
        <v>806014</v>
      </c>
      <c r="L17" s="356">
        <v>565410</v>
      </c>
      <c r="M17" s="356">
        <f t="shared" si="14"/>
        <v>582108</v>
      </c>
      <c r="N17" s="355">
        <v>15430</v>
      </c>
      <c r="O17" s="158">
        <v>7934</v>
      </c>
      <c r="P17" s="40"/>
      <c r="Q17" s="40"/>
      <c r="R17" s="40"/>
      <c r="S17" s="40"/>
      <c r="T17" s="40"/>
      <c r="U17" s="40"/>
      <c r="V17" s="40"/>
      <c r="W17" s="40"/>
      <c r="X17" s="40"/>
      <c r="Y17" s="40"/>
      <c r="Z17" s="40"/>
      <c r="AA17" s="40"/>
      <c r="AB17" s="40"/>
      <c r="AC17" s="40"/>
      <c r="AD17" s="40"/>
      <c r="AE17" s="22"/>
    </row>
    <row r="18" spans="1:32" s="22" customFormat="1" ht="20.149999999999999" customHeight="1" x14ac:dyDescent="0.55000000000000004">
      <c r="A18" s="358" t="s">
        <v>40</v>
      </c>
      <c r="B18" s="355">
        <v>283378</v>
      </c>
      <c r="C18" s="356">
        <v>16229</v>
      </c>
      <c r="D18" s="357">
        <f t="shared" si="15"/>
        <v>299607</v>
      </c>
      <c r="E18" s="356">
        <v>465690</v>
      </c>
      <c r="F18" s="356">
        <v>20850</v>
      </c>
      <c r="G18" s="357">
        <f t="shared" si="11"/>
        <v>486540</v>
      </c>
      <c r="H18" s="356">
        <v>2418</v>
      </c>
      <c r="I18" s="356">
        <v>13902</v>
      </c>
      <c r="J18" s="357">
        <f t="shared" si="12"/>
        <v>16320</v>
      </c>
      <c r="K18" s="356">
        <f t="shared" si="13"/>
        <v>802467</v>
      </c>
      <c r="L18" s="356">
        <v>564080</v>
      </c>
      <c r="M18" s="356">
        <f t="shared" si="14"/>
        <v>580400</v>
      </c>
      <c r="N18" s="355">
        <v>15357</v>
      </c>
      <c r="O18" s="158">
        <v>8190</v>
      </c>
      <c r="P18" s="40"/>
      <c r="Q18" s="40"/>
      <c r="R18" s="40"/>
      <c r="S18" s="40"/>
      <c r="T18" s="40"/>
      <c r="U18" s="40"/>
      <c r="V18" s="40"/>
      <c r="W18" s="40"/>
      <c r="X18" s="40"/>
      <c r="Y18" s="40"/>
      <c r="Z18" s="40"/>
      <c r="AA18" s="40"/>
      <c r="AB18" s="40"/>
      <c r="AC18" s="40"/>
      <c r="AD18" s="40"/>
    </row>
    <row r="19" spans="1:32" ht="19.5" customHeight="1" x14ac:dyDescent="0.3">
      <c r="A19" s="359" t="s">
        <v>3</v>
      </c>
      <c r="B19" s="360">
        <v>282983</v>
      </c>
      <c r="C19" s="361">
        <v>15900</v>
      </c>
      <c r="D19" s="362">
        <f t="shared" si="15"/>
        <v>298883</v>
      </c>
      <c r="E19" s="361">
        <v>463117</v>
      </c>
      <c r="F19" s="361">
        <v>20287</v>
      </c>
      <c r="G19" s="362">
        <f t="shared" si="11"/>
        <v>483404</v>
      </c>
      <c r="H19" s="361">
        <v>2369</v>
      </c>
      <c r="I19" s="361">
        <v>13609</v>
      </c>
      <c r="J19" s="362">
        <f t="shared" si="12"/>
        <v>15978</v>
      </c>
      <c r="K19" s="361">
        <f t="shared" si="13"/>
        <v>798265</v>
      </c>
      <c r="L19" s="361">
        <v>562214</v>
      </c>
      <c r="M19" s="361">
        <f t="shared" si="14"/>
        <v>578192</v>
      </c>
      <c r="N19" s="360">
        <v>15143</v>
      </c>
      <c r="O19" s="190">
        <v>8352</v>
      </c>
      <c r="P19" s="39"/>
      <c r="Q19" s="39"/>
      <c r="R19" s="39"/>
      <c r="S19" s="39"/>
      <c r="T19" s="39"/>
      <c r="U19" s="39"/>
      <c r="V19" s="39"/>
      <c r="W19" s="39"/>
      <c r="X19" s="39"/>
      <c r="Y19" s="39"/>
      <c r="Z19" s="39"/>
      <c r="AA19" s="39"/>
      <c r="AB19" s="39"/>
      <c r="AC19" s="39"/>
      <c r="AD19" s="39"/>
      <c r="AE19" s="39"/>
      <c r="AF19" s="39"/>
    </row>
    <row r="20" spans="1:32" x14ac:dyDescent="0.35">
      <c r="A20" s="42"/>
      <c r="B20" s="43"/>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row>
    <row r="21" spans="1:32" ht="14.15" customHeight="1" x14ac:dyDescent="0.35">
      <c r="A21" s="42"/>
      <c r="B21" s="43"/>
      <c r="C21" s="39"/>
      <c r="D21" s="39"/>
      <c r="E21" s="39"/>
      <c r="F21" s="39"/>
      <c r="G21" s="39"/>
      <c r="H21" s="39"/>
      <c r="I21" s="39"/>
      <c r="J21" s="39"/>
      <c r="K21" s="39"/>
      <c r="L21" s="39"/>
      <c r="M21" s="39"/>
      <c r="N21" s="39"/>
      <c r="O21" s="39"/>
      <c r="P21" s="40"/>
      <c r="Q21" s="40"/>
      <c r="R21" s="40"/>
      <c r="S21" s="40"/>
      <c r="T21" s="40"/>
      <c r="U21" s="40"/>
      <c r="V21" s="40"/>
      <c r="W21" s="40"/>
      <c r="X21" s="40"/>
      <c r="Y21" s="40"/>
      <c r="Z21" s="40"/>
      <c r="AA21" s="40"/>
      <c r="AB21" s="40"/>
      <c r="AC21" s="40"/>
      <c r="AD21" s="40"/>
      <c r="AE21" s="40"/>
      <c r="AF21" s="40"/>
    </row>
    <row r="22" spans="1:32" ht="14.15" customHeight="1" x14ac:dyDescent="0.35">
      <c r="A22" s="42"/>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2" ht="14.15" customHeight="1" x14ac:dyDescent="0.35">
      <c r="A23" s="42"/>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1:32" ht="14.15" customHeight="1" x14ac:dyDescent="0.35">
      <c r="A24" s="36"/>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2" x14ac:dyDescent="0.35">
      <c r="A25" s="36"/>
      <c r="B25" s="44"/>
      <c r="C25" s="40"/>
      <c r="D25" s="40"/>
      <c r="E25" s="40"/>
      <c r="F25" s="40"/>
      <c r="G25" s="40"/>
      <c r="H25" s="40"/>
      <c r="I25" s="40"/>
      <c r="J25" s="40"/>
      <c r="K25" s="40"/>
      <c r="L25" s="40"/>
      <c r="M25" s="40"/>
      <c r="N25" s="40"/>
      <c r="O25" s="40"/>
      <c r="P25" s="39"/>
      <c r="Q25" s="39"/>
      <c r="R25" s="39"/>
      <c r="S25" s="39"/>
      <c r="T25" s="39"/>
      <c r="U25" s="39"/>
      <c r="V25" s="39"/>
      <c r="W25" s="39"/>
      <c r="X25" s="39"/>
      <c r="Y25" s="39"/>
      <c r="Z25" s="39"/>
      <c r="AA25" s="39"/>
      <c r="AB25" s="39"/>
      <c r="AC25" s="39"/>
      <c r="AD25" s="39"/>
      <c r="AE25" s="39"/>
      <c r="AF25" s="39"/>
    </row>
    <row r="26" spans="1:32" ht="14.15" customHeight="1" x14ac:dyDescent="0.35">
      <c r="A26" s="36"/>
      <c r="B26" s="4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row>
    <row r="27" spans="1:32" x14ac:dyDescent="0.35">
      <c r="A27" s="36"/>
      <c r="B27" s="35"/>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row>
    <row r="28" spans="1:32" x14ac:dyDescent="0.35">
      <c r="A28" s="36"/>
      <c r="B28" s="35"/>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row>
    <row r="29" spans="1:32" ht="14.15" customHeight="1" x14ac:dyDescent="0.35">
      <c r="A29" s="36"/>
      <c r="B29" s="35"/>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row>
    <row r="30" spans="1:32" x14ac:dyDescent="0.35">
      <c r="A30" s="36"/>
      <c r="B30" s="35"/>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row>
    <row r="31" spans="1:32" x14ac:dyDescent="0.35">
      <c r="A31" s="36"/>
      <c r="B31" s="35"/>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row>
    <row r="32" spans="1:32" x14ac:dyDescent="0.35">
      <c r="A32" s="36"/>
      <c r="B32" s="35"/>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row>
    <row r="33" spans="1:15" x14ac:dyDescent="0.35">
      <c r="A33" s="35"/>
      <c r="B33" s="35"/>
      <c r="C33" s="39"/>
      <c r="D33" s="39"/>
      <c r="E33" s="39"/>
      <c r="F33" s="39"/>
      <c r="G33" s="39"/>
      <c r="H33" s="39"/>
      <c r="I33" s="39"/>
      <c r="J33" s="39"/>
      <c r="K33" s="39"/>
      <c r="L33" s="39"/>
      <c r="M33" s="39"/>
      <c r="N33" s="39"/>
      <c r="O33" s="39"/>
    </row>
    <row r="34" spans="1:15" x14ac:dyDescent="0.35">
      <c r="E34" s="3"/>
    </row>
    <row r="35" spans="1:15" x14ac:dyDescent="0.35">
      <c r="E35" s="3"/>
    </row>
    <row r="36" spans="1:15" x14ac:dyDescent="0.35">
      <c r="E36" s="3"/>
    </row>
    <row r="37" spans="1:15" x14ac:dyDescent="0.35">
      <c r="E37" s="3"/>
    </row>
    <row r="38" spans="1:15" x14ac:dyDescent="0.35">
      <c r="E38" s="3"/>
    </row>
  </sheetData>
  <customSheetViews>
    <customSheetView guid="{501209ED-4B79-4E52-B95E-748E5E77E24F}">
      <pane xSplit="1" ySplit="10" topLeftCell="B12" activePane="bottomRight" state="frozen"/>
      <selection pane="bottomRight" activeCell="N12" sqref="N12:O12"/>
      <pageMargins left="0.59055118110236227" right="0.59055118110236227" top="0.59055118110236227" bottom="0.59055118110236227" header="0.31496062992125984" footer="0.31496062992125984"/>
      <printOptions horizontalCentered="1"/>
      <pageSetup paperSize="9" scale="56" orientation="portrait" r:id="rId1"/>
    </customSheetView>
  </customSheetViews>
  <mergeCells count="10">
    <mergeCell ref="N9:O9"/>
    <mergeCell ref="B9:M9"/>
    <mergeCell ref="H10:J10"/>
    <mergeCell ref="E10:G10"/>
    <mergeCell ref="B10:D10"/>
    <mergeCell ref="K10:K11"/>
    <mergeCell ref="M10:M11"/>
    <mergeCell ref="L10:L11"/>
    <mergeCell ref="O10:O11"/>
    <mergeCell ref="N10:N11"/>
  </mergeCells>
  <phoneticPr fontId="1"/>
  <conditionalFormatting sqref="K13 M13">
    <cfRule type="containsBlanks" dxfId="407" priority="16">
      <formula>LEN(TRIM(K13))=0</formula>
    </cfRule>
  </conditionalFormatting>
  <conditionalFormatting sqref="D13 G13 J13">
    <cfRule type="containsBlanks" dxfId="406" priority="15">
      <formula>LEN(TRIM(D13))=0</formula>
    </cfRule>
  </conditionalFormatting>
  <conditionalFormatting sqref="E13:F13">
    <cfRule type="containsBlanks" dxfId="405" priority="14">
      <formula>LEN(TRIM(E13))=0</formula>
    </cfRule>
  </conditionalFormatting>
  <conditionalFormatting sqref="H13:I13">
    <cfRule type="containsBlanks" dxfId="404" priority="13">
      <formula>LEN(TRIM(H13))=0</formula>
    </cfRule>
  </conditionalFormatting>
  <conditionalFormatting sqref="B13:C13">
    <cfRule type="containsBlanks" dxfId="403" priority="12">
      <formula>LEN(TRIM(B13))=0</formula>
    </cfRule>
  </conditionalFormatting>
  <conditionalFormatting sqref="L13">
    <cfRule type="containsBlanks" dxfId="402" priority="11">
      <formula>LEN(TRIM(L13))=0</formula>
    </cfRule>
  </conditionalFormatting>
  <conditionalFormatting sqref="O13">
    <cfRule type="containsBlanks" dxfId="401" priority="10">
      <formula>LEN(TRIM(O13))=0</formula>
    </cfRule>
  </conditionalFormatting>
  <conditionalFormatting sqref="N13">
    <cfRule type="containsBlanks" dxfId="400" priority="9">
      <formula>LEN(TRIM(N13))=0</formula>
    </cfRule>
  </conditionalFormatting>
  <conditionalFormatting sqref="K12 M12">
    <cfRule type="containsBlanks" dxfId="399" priority="8">
      <formula>LEN(TRIM(K12))=0</formula>
    </cfRule>
  </conditionalFormatting>
  <conditionalFormatting sqref="D12 G12 J12">
    <cfRule type="containsBlanks" dxfId="398" priority="7">
      <formula>LEN(TRIM(D12))=0</formula>
    </cfRule>
  </conditionalFormatting>
  <conditionalFormatting sqref="E12:F12">
    <cfRule type="containsBlanks" dxfId="397" priority="6">
      <formula>LEN(TRIM(E12))=0</formula>
    </cfRule>
  </conditionalFormatting>
  <conditionalFormatting sqref="H12:I12">
    <cfRule type="containsBlanks" dxfId="396" priority="5">
      <formula>LEN(TRIM(H12))=0</formula>
    </cfRule>
  </conditionalFormatting>
  <conditionalFormatting sqref="B12:C12">
    <cfRule type="containsBlanks" dxfId="395" priority="4">
      <formula>LEN(TRIM(B12))=0</formula>
    </cfRule>
  </conditionalFormatting>
  <conditionalFormatting sqref="L12">
    <cfRule type="containsBlanks" dxfId="394" priority="3">
      <formula>LEN(TRIM(L12))=0</formula>
    </cfRule>
  </conditionalFormatting>
  <conditionalFormatting sqref="O12">
    <cfRule type="containsBlanks" dxfId="393" priority="2">
      <formula>LEN(TRIM(O12))=0</formula>
    </cfRule>
  </conditionalFormatting>
  <conditionalFormatting sqref="N12">
    <cfRule type="containsBlanks" dxfId="392" priority="1">
      <formula>LEN(TRIM(N12))=0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6"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vt:i4>
      </vt:variant>
    </vt:vector>
  </HeadingPairs>
  <TitlesOfParts>
    <vt:vector size="33" baseType="lpstr">
      <vt:lpstr>目次</vt:lpstr>
      <vt:lpstr>1(1)個人市民税（納税義務者の推移）</vt:lpstr>
      <vt:lpstr>1(2)個人市民税（調定額の推移）</vt:lpstr>
      <vt:lpstr>1(3)個人市民税（課税標準額段階別納税義務者数の推移）</vt:lpstr>
      <vt:lpstr>1(4)個人市民税（課税標準額段階別総所得金額・所得控除額）</vt:lpstr>
      <vt:lpstr>1(5)個人市民税（課税標準額段階別課税標準額・算出税額等）</vt:lpstr>
      <vt:lpstr>2(1)法人市民税（均等割納税義務者の推移）</vt:lpstr>
      <vt:lpstr>2(2)法人市民税（法人税割業種別決算調定額の推移）</vt:lpstr>
      <vt:lpstr>3(1)固定資産税（納税義務者の推移）</vt:lpstr>
      <vt:lpstr>3(2)固定資産税（地目別地積の推移（土地））</vt:lpstr>
      <vt:lpstr>3(3)固定資産税（地目別筆数の推移（土地））</vt:lpstr>
      <vt:lpstr>3(4)固定資産税（地目別決定価格の推移（土地））</vt:lpstr>
      <vt:lpstr>3(5)固定資産税（地目別課税標準額の推移（土地））</vt:lpstr>
      <vt:lpstr>3(6)固定資産税（棟数・床面積・決定価格・課税標準額の推移）</vt:lpstr>
      <vt:lpstr>3(7)固定資産税（決定価格の推移（償却資産））</vt:lpstr>
      <vt:lpstr>3(8)固定資産税（課税標準額の推移（償却資産））</vt:lpstr>
      <vt:lpstr>3(9)固定資産税（国有資産等所在市町村交付金の推移）</vt:lpstr>
      <vt:lpstr>4(1)軽自動車税（登録台数の推移（賦課期日現在））</vt:lpstr>
      <vt:lpstr>4(2)軽自動車税（課税台数の推移（賦課期日現在））</vt:lpstr>
      <vt:lpstr>4(3)軽自動車税（免除・非課税台数の推移（賦課期日現在））</vt:lpstr>
      <vt:lpstr>4(4)軽自動車税（車種別調定額の推移（賦課期日現在））</vt:lpstr>
      <vt:lpstr>5(1)市たばこ税調定額等の推移</vt:lpstr>
      <vt:lpstr>5(2)入湯税に関する調</vt:lpstr>
      <vt:lpstr>5(3)事業所税に関する調</vt:lpstr>
      <vt:lpstr>5(4)都市計画税に関する調</vt:lpstr>
      <vt:lpstr>6(1)個人市民税減免額の推移</vt:lpstr>
      <vt:lpstr>6(2)固定資産税・都市計画税減免額の推移</vt:lpstr>
      <vt:lpstr>6(3)震災に伴う市税軽減額の推移</vt:lpstr>
      <vt:lpstr>6(4)阪神・淡路大震災に関する税制措置大要（ア）</vt:lpstr>
      <vt:lpstr>6(4)阪神・淡路大震災に関する税制措置大要（イ）</vt:lpstr>
      <vt:lpstr>6(4)阪神・淡路大震災に関する税制措置大要（ウ）</vt:lpstr>
      <vt:lpstr>(付表)阪神・淡路大震災に係る税制措置に関する主な地域指定等</vt:lpstr>
      <vt:lpstr>'2(1)法人市民税（均等割納税義務者の推移）'!Print_Area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2024-09-20T04:44:14Z</cp:lastPrinted>
  <dcterms:created xsi:type="dcterms:W3CDTF">2015-06-05T18:19:34Z</dcterms:created>
  <dcterms:modified xsi:type="dcterms:W3CDTF">2024-09-30T07:51:02Z</dcterms:modified>
</cp:coreProperties>
</file>